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225" windowWidth="14805" windowHeight="7890" activeTab="4"/>
  </bookViews>
  <sheets>
    <sheet name="RefCards" sheetId="5" r:id="rId1"/>
    <sheet name="ModelSChargeRef" sheetId="3" r:id="rId2"/>
    <sheet name="InCarEnergyCalcs" sheetId="12" r:id="rId3"/>
    <sheet name="Efficiency" sheetId="13" r:id="rId4"/>
    <sheet name="ElectricityCost" sheetId="10" r:id="rId5"/>
    <sheet name="Weight+Capacity" sheetId="11" r:id="rId6"/>
    <sheet name="ParkingDischarge" sheetId="9" r:id="rId7"/>
    <sheet name="TCO" sheetId="7" r:id="rId8"/>
    <sheet name="BatteryPack" sheetId="8" r:id="rId9"/>
    <sheet name="Resources" sheetId="6" r:id="rId10"/>
  </sheets>
  <definedNames>
    <definedName name="_xlnm.Print_Area" localSheetId="8">BatteryPack!$A$1:$I$31</definedName>
    <definedName name="_xlnm.Print_Area" localSheetId="3">Efficiency!$A$1:$F$27</definedName>
    <definedName name="_xlnm.Print_Area" localSheetId="4">ElectricityCost!$A$1:$Q$38</definedName>
    <definedName name="_xlnm.Print_Area" localSheetId="1">ModelSChargeRef!$A$1:$P$49</definedName>
    <definedName name="_xlnm.Print_Area" localSheetId="0">RefCards!$A$1:$M$36</definedName>
    <definedName name="_xlnm.Print_Area" localSheetId="7">TCO!$A$1:$G$31</definedName>
  </definedNames>
  <calcPr calcId="145621"/>
</workbook>
</file>

<file path=xl/calcChain.xml><?xml version="1.0" encoding="utf-8"?>
<calcChain xmlns="http://schemas.openxmlformats.org/spreadsheetml/2006/main">
  <c r="F25" i="13" l="1"/>
  <c r="E25" i="13"/>
  <c r="D25" i="13"/>
  <c r="C25" i="13"/>
  <c r="F24" i="13"/>
  <c r="E24" i="13"/>
  <c r="D24" i="13"/>
  <c r="C24" i="13"/>
  <c r="B24" i="13"/>
  <c r="B25" i="13" s="1"/>
  <c r="B19" i="13"/>
  <c r="F18" i="13"/>
  <c r="E18" i="13"/>
  <c r="D18" i="13"/>
  <c r="C18" i="13"/>
  <c r="B18" i="13"/>
  <c r="B20" i="13" s="1"/>
  <c r="B12" i="13"/>
  <c r="D19" i="13" s="1"/>
  <c r="D4" i="13"/>
  <c r="B13" i="13" s="1"/>
  <c r="F26" i="13" s="1"/>
  <c r="D3" i="13"/>
  <c r="B26" i="13" l="1"/>
  <c r="B27" i="13" s="1"/>
  <c r="F27" i="13"/>
  <c r="D20" i="13"/>
  <c r="C27" i="13"/>
  <c r="D26" i="13"/>
  <c r="D27" i="13" s="1"/>
  <c r="E26" i="13"/>
  <c r="E19" i="13"/>
  <c r="E20" i="13" s="1"/>
  <c r="F19" i="13"/>
  <c r="F20" i="13" s="1"/>
  <c r="E27" i="13"/>
  <c r="C26" i="13"/>
  <c r="C19" i="13"/>
  <c r="C20" i="13" s="1"/>
  <c r="E11" i="12"/>
  <c r="E12" i="12"/>
  <c r="F13" i="12"/>
  <c r="D13" i="12"/>
  <c r="C13" i="12"/>
  <c r="H3" i="12"/>
  <c r="I3" i="12" s="1"/>
  <c r="F2" i="12"/>
  <c r="G4" i="12"/>
  <c r="E4" i="12"/>
  <c r="F3" i="12"/>
  <c r="F4" i="12" s="1"/>
  <c r="E13" i="12" l="1"/>
  <c r="H12" i="12" s="1"/>
  <c r="I12" i="12" s="1"/>
  <c r="C10" i="11"/>
  <c r="C4" i="11"/>
  <c r="B10" i="11"/>
  <c r="B4" i="11"/>
  <c r="G14" i="12" l="1"/>
  <c r="D11" i="10"/>
  <c r="E11" i="10"/>
  <c r="F11" i="10"/>
  <c r="G11" i="10"/>
  <c r="H11" i="10"/>
  <c r="C11" i="10"/>
  <c r="D49" i="10"/>
  <c r="C49" i="10"/>
  <c r="B49" i="10"/>
  <c r="D48" i="10"/>
  <c r="D46" i="10"/>
  <c r="D47" i="10"/>
  <c r="D45" i="10"/>
  <c r="D33" i="5" l="1"/>
  <c r="D34" i="5"/>
  <c r="D32" i="5"/>
  <c r="L31" i="5"/>
  <c r="L32" i="5" s="1"/>
  <c r="L34" i="5" l="1"/>
  <c r="L33" i="5"/>
  <c r="D17" i="10"/>
  <c r="E17" i="10"/>
  <c r="F17" i="10"/>
  <c r="G17" i="10"/>
  <c r="H17" i="10"/>
  <c r="C17" i="10"/>
  <c r="V25" i="10"/>
  <c r="W25" i="10"/>
  <c r="U25" i="10"/>
  <c r="X25" i="10" s="1"/>
  <c r="V30" i="10"/>
  <c r="W30" i="10"/>
  <c r="U30" i="10"/>
  <c r="W19" i="10"/>
  <c r="W18" i="10"/>
  <c r="V18" i="10"/>
  <c r="V19" i="10"/>
  <c r="T24" i="10"/>
  <c r="T23" i="10"/>
  <c r="V22" i="10"/>
  <c r="W22" i="10"/>
  <c r="U22" i="10"/>
  <c r="U19" i="10"/>
  <c r="U18" i="10"/>
  <c r="U27" i="10" s="1"/>
  <c r="U32" i="10" s="1"/>
  <c r="S34" i="10" l="1"/>
  <c r="V27" i="10"/>
  <c r="V32" i="10" s="1"/>
  <c r="W27" i="10"/>
  <c r="V28" i="10" s="1"/>
  <c r="C6" i="10" l="1"/>
  <c r="L11" i="10" s="1"/>
  <c r="C12" i="10" l="1"/>
  <c r="G12" i="10"/>
  <c r="H12" i="10"/>
  <c r="F12" i="10"/>
  <c r="E12" i="10"/>
  <c r="D12" i="10"/>
  <c r="M29" i="10"/>
  <c r="N29" i="10"/>
  <c r="O29" i="10"/>
  <c r="P29" i="10"/>
  <c r="Q29" i="10"/>
  <c r="L29" i="10"/>
  <c r="K6" i="10"/>
  <c r="A36" i="3"/>
  <c r="A37" i="3"/>
  <c r="A38" i="3"/>
  <c r="A35" i="3"/>
  <c r="B36" i="3"/>
  <c r="C36" i="3"/>
  <c r="D36" i="3"/>
  <c r="E36" i="3"/>
  <c r="F36" i="3"/>
  <c r="F37" i="3"/>
  <c r="C35" i="3"/>
  <c r="D35" i="3"/>
  <c r="E35" i="3"/>
  <c r="F35" i="3"/>
  <c r="B35" i="3"/>
  <c r="C16" i="5"/>
  <c r="A39" i="3" s="1"/>
  <c r="C17" i="5"/>
  <c r="A40" i="3" s="1"/>
  <c r="H15" i="5"/>
  <c r="F38" i="3" s="1"/>
  <c r="E22" i="5"/>
  <c r="F22" i="5"/>
  <c r="G22" i="5"/>
  <c r="H22" i="5"/>
  <c r="I22" i="5"/>
  <c r="J22" i="5"/>
  <c r="K22" i="5"/>
  <c r="D22" i="5"/>
  <c r="C27" i="5"/>
  <c r="H17" i="5"/>
  <c r="F40" i="3" s="1"/>
  <c r="H16" i="5"/>
  <c r="F39" i="3" s="1"/>
  <c r="E14" i="5"/>
  <c r="E15" i="5" s="1"/>
  <c r="C38" i="3" s="1"/>
  <c r="F14" i="5"/>
  <c r="F15" i="5" s="1"/>
  <c r="D38" i="3" s="1"/>
  <c r="G14" i="5"/>
  <c r="C26" i="5" s="1"/>
  <c r="A48" i="3" s="1"/>
  <c r="D14" i="5"/>
  <c r="D15" i="5" s="1"/>
  <c r="B38" i="3" s="1"/>
  <c r="E31" i="5"/>
  <c r="F31" i="5"/>
  <c r="G31" i="5"/>
  <c r="H31" i="5"/>
  <c r="I31" i="5"/>
  <c r="J31" i="5"/>
  <c r="K31" i="5"/>
  <c r="K25" i="10"/>
  <c r="K24" i="10"/>
  <c r="K23" i="10"/>
  <c r="K22" i="10"/>
  <c r="K21" i="10"/>
  <c r="K20" i="10"/>
  <c r="K19" i="10"/>
  <c r="K18" i="10"/>
  <c r="B37" i="10"/>
  <c r="K37" i="10" s="1"/>
  <c r="B36" i="10"/>
  <c r="K36" i="10" s="1"/>
  <c r="B35" i="10"/>
  <c r="K35" i="10" s="1"/>
  <c r="B34" i="10"/>
  <c r="K34" i="10" s="1"/>
  <c r="B33" i="10"/>
  <c r="K33" i="10" s="1"/>
  <c r="B32" i="10"/>
  <c r="K32" i="10" s="1"/>
  <c r="B31" i="10"/>
  <c r="K31" i="10" s="1"/>
  <c r="B30" i="10"/>
  <c r="K30" i="10" s="1"/>
  <c r="H29" i="10"/>
  <c r="Q17" i="10" s="1"/>
  <c r="G29" i="10"/>
  <c r="P17" i="10" s="1"/>
  <c r="F29" i="10"/>
  <c r="O17" i="10" s="1"/>
  <c r="E29" i="10"/>
  <c r="N17" i="10" s="1"/>
  <c r="D29" i="10"/>
  <c r="M17" i="10" s="1"/>
  <c r="C29" i="10"/>
  <c r="L17" i="10" s="1"/>
  <c r="I32" i="5" l="1"/>
  <c r="I33" i="5"/>
  <c r="I34" i="5"/>
  <c r="G33" i="5"/>
  <c r="G32" i="5"/>
  <c r="G34" i="5"/>
  <c r="F32" i="5"/>
  <c r="F33" i="5"/>
  <c r="F34" i="5"/>
  <c r="E33" i="5"/>
  <c r="E32" i="5"/>
  <c r="E34" i="5"/>
  <c r="J32" i="5"/>
  <c r="J33" i="5"/>
  <c r="J34" i="5"/>
  <c r="H34" i="5"/>
  <c r="H32" i="5"/>
  <c r="H33" i="5"/>
  <c r="K33" i="5"/>
  <c r="K34" i="5"/>
  <c r="K32" i="5"/>
  <c r="D13" i="10"/>
  <c r="D14" i="10" s="1"/>
  <c r="M21" i="10"/>
  <c r="M24" i="10"/>
  <c r="M19" i="10"/>
  <c r="M22" i="10"/>
  <c r="M25" i="10"/>
  <c r="M37" i="10" s="1"/>
  <c r="M20" i="10"/>
  <c r="M23" i="10"/>
  <c r="M18" i="10"/>
  <c r="E13" i="10"/>
  <c r="E14" i="10" s="1"/>
  <c r="N23" i="10"/>
  <c r="N18" i="10"/>
  <c r="N21" i="10"/>
  <c r="N24" i="10"/>
  <c r="N19" i="10"/>
  <c r="N22" i="10"/>
  <c r="N25" i="10"/>
  <c r="N20" i="10"/>
  <c r="C13" i="10"/>
  <c r="C14" i="10" s="1"/>
  <c r="L21" i="10"/>
  <c r="L24" i="10"/>
  <c r="L18" i="10"/>
  <c r="L19" i="10"/>
  <c r="L22" i="10"/>
  <c r="L25" i="10"/>
  <c r="L20" i="10"/>
  <c r="L23" i="10"/>
  <c r="H13" i="10"/>
  <c r="H14" i="10" s="1"/>
  <c r="Q19" i="10"/>
  <c r="Q23" i="10"/>
  <c r="Q25" i="10"/>
  <c r="Q18" i="10"/>
  <c r="Q22" i="10"/>
  <c r="Q21" i="10"/>
  <c r="Q20" i="10"/>
  <c r="Q24" i="10"/>
  <c r="G13" i="10"/>
  <c r="G14" i="10" s="1"/>
  <c r="P20" i="10"/>
  <c r="P24" i="10"/>
  <c r="P18" i="10"/>
  <c r="P25" i="10"/>
  <c r="P19" i="10"/>
  <c r="P21" i="10"/>
  <c r="P23" i="10"/>
  <c r="P22" i="10"/>
  <c r="F13" i="10"/>
  <c r="F14" i="10" s="1"/>
  <c r="O19" i="10"/>
  <c r="O18" i="10"/>
  <c r="O21" i="10"/>
  <c r="O25" i="10"/>
  <c r="O37" i="10" s="1"/>
  <c r="O20" i="10"/>
  <c r="O24" i="10"/>
  <c r="O23" i="10"/>
  <c r="O22" i="10"/>
  <c r="W31" i="10"/>
  <c r="W32" i="10" s="1"/>
  <c r="X32" i="10" s="1"/>
  <c r="E37" i="3"/>
  <c r="D37" i="3"/>
  <c r="I27" i="5"/>
  <c r="A49" i="3"/>
  <c r="C23" i="5"/>
  <c r="A45" i="3" s="1"/>
  <c r="I26" i="5"/>
  <c r="C37" i="3"/>
  <c r="B37" i="3"/>
  <c r="F27" i="5"/>
  <c r="D49" i="3" s="1"/>
  <c r="E27" i="5"/>
  <c r="C49" i="3" s="1"/>
  <c r="E26" i="5"/>
  <c r="C48" i="3" s="1"/>
  <c r="D16" i="5"/>
  <c r="B39" i="3" s="1"/>
  <c r="D27" i="5"/>
  <c r="B49" i="3" s="1"/>
  <c r="D26" i="5"/>
  <c r="B48" i="3" s="1"/>
  <c r="K27" i="5"/>
  <c r="K26" i="5"/>
  <c r="J27" i="5"/>
  <c r="J26" i="5"/>
  <c r="H27" i="5"/>
  <c r="F49" i="3" s="1"/>
  <c r="H26" i="5"/>
  <c r="F48" i="3" s="1"/>
  <c r="G27" i="5"/>
  <c r="E49" i="3" s="1"/>
  <c r="G26" i="5"/>
  <c r="E48" i="3" s="1"/>
  <c r="F26" i="5"/>
  <c r="D48" i="3" s="1"/>
  <c r="E17" i="5"/>
  <c r="C40" i="3" s="1"/>
  <c r="G16" i="5"/>
  <c r="E39" i="3" s="1"/>
  <c r="D17" i="5"/>
  <c r="B40" i="3" s="1"/>
  <c r="G17" i="5"/>
  <c r="E40" i="3" s="1"/>
  <c r="F17" i="5"/>
  <c r="D40" i="3" s="1"/>
  <c r="F16" i="5"/>
  <c r="D39" i="3" s="1"/>
  <c r="C24" i="5"/>
  <c r="G15" i="5"/>
  <c r="E38" i="3" s="1"/>
  <c r="E16" i="5"/>
  <c r="C39" i="3" s="1"/>
  <c r="C25" i="5"/>
  <c r="X31" i="10" l="1"/>
  <c r="P37" i="10"/>
  <c r="G37" i="10"/>
  <c r="G25" i="10"/>
  <c r="M33" i="10"/>
  <c r="D33" i="10"/>
  <c r="D21" i="10"/>
  <c r="Q32" i="10"/>
  <c r="H20" i="10"/>
  <c r="H32" i="10"/>
  <c r="O30" i="10"/>
  <c r="F30" i="10"/>
  <c r="F18" i="10"/>
  <c r="M31" i="10"/>
  <c r="D19" i="10"/>
  <c r="D31" i="10"/>
  <c r="P32" i="10"/>
  <c r="G20" i="10"/>
  <c r="G32" i="10"/>
  <c r="N30" i="10"/>
  <c r="E30" i="10"/>
  <c r="E18" i="10"/>
  <c r="P34" i="10"/>
  <c r="G34" i="10"/>
  <c r="G22" i="10"/>
  <c r="N33" i="10"/>
  <c r="E33" i="10"/>
  <c r="E21" i="10"/>
  <c r="M35" i="10"/>
  <c r="D35" i="10"/>
  <c r="D23" i="10"/>
  <c r="N31" i="10"/>
  <c r="E19" i="10"/>
  <c r="E31" i="10"/>
  <c r="Q33" i="10"/>
  <c r="H33" i="10"/>
  <c r="H21" i="10"/>
  <c r="O32" i="10"/>
  <c r="F20" i="10"/>
  <c r="F32" i="10"/>
  <c r="P33" i="10"/>
  <c r="G33" i="10"/>
  <c r="G21" i="10"/>
  <c r="N37" i="10"/>
  <c r="E25" i="10"/>
  <c r="E37" i="10"/>
  <c r="P36" i="10"/>
  <c r="G36" i="10"/>
  <c r="G24" i="10"/>
  <c r="N32" i="10"/>
  <c r="E20" i="10"/>
  <c r="E32" i="10"/>
  <c r="Q35" i="10"/>
  <c r="H23" i="10"/>
  <c r="H35" i="10"/>
  <c r="N34" i="10"/>
  <c r="E34" i="10"/>
  <c r="E22" i="10"/>
  <c r="O33" i="10"/>
  <c r="F33" i="10"/>
  <c r="F21" i="10"/>
  <c r="D37" i="10"/>
  <c r="D25" i="10"/>
  <c r="O36" i="10"/>
  <c r="F36" i="10"/>
  <c r="F24" i="10"/>
  <c r="M32" i="10"/>
  <c r="D20" i="10"/>
  <c r="D32" i="10"/>
  <c r="P35" i="10"/>
  <c r="G35" i="10"/>
  <c r="G23" i="10"/>
  <c r="M34" i="10"/>
  <c r="D34" i="10"/>
  <c r="D22" i="10"/>
  <c r="O31" i="10"/>
  <c r="F19" i="10"/>
  <c r="F31" i="10"/>
  <c r="P30" i="10"/>
  <c r="G30" i="10"/>
  <c r="G18" i="10"/>
  <c r="F37" i="10"/>
  <c r="F25" i="10"/>
  <c r="Q36" i="10"/>
  <c r="H36" i="10"/>
  <c r="H24" i="10"/>
  <c r="O34" i="10"/>
  <c r="F34" i="10"/>
  <c r="F22" i="10"/>
  <c r="Q31" i="10"/>
  <c r="H19" i="10"/>
  <c r="H31" i="10"/>
  <c r="N36" i="10"/>
  <c r="E36" i="10"/>
  <c r="E24" i="10"/>
  <c r="M30" i="10"/>
  <c r="D18" i="10"/>
  <c r="D30" i="10"/>
  <c r="O35" i="10"/>
  <c r="F35" i="10"/>
  <c r="F23" i="10"/>
  <c r="P31" i="10"/>
  <c r="G19" i="10"/>
  <c r="G31" i="10"/>
  <c r="Q37" i="10"/>
  <c r="H37" i="10"/>
  <c r="H25" i="10"/>
  <c r="M36" i="10"/>
  <c r="D36" i="10"/>
  <c r="D24" i="10"/>
  <c r="Q30" i="10"/>
  <c r="H30" i="10"/>
  <c r="H18" i="10"/>
  <c r="N35" i="10"/>
  <c r="E35" i="10"/>
  <c r="E23" i="10"/>
  <c r="Q34" i="10"/>
  <c r="H34" i="10"/>
  <c r="H22" i="10"/>
  <c r="L35" i="10"/>
  <c r="C23" i="10"/>
  <c r="C35" i="10"/>
  <c r="L32" i="10"/>
  <c r="C20" i="10"/>
  <c r="C32" i="10"/>
  <c r="L36" i="10"/>
  <c r="C24" i="10"/>
  <c r="C36" i="10"/>
  <c r="L31" i="10"/>
  <c r="C31" i="10"/>
  <c r="C19" i="10"/>
  <c r="L34" i="10"/>
  <c r="C34" i="10"/>
  <c r="C22" i="10"/>
  <c r="L33" i="10"/>
  <c r="C33" i="10"/>
  <c r="C21" i="10"/>
  <c r="L30" i="10"/>
  <c r="C18" i="10"/>
  <c r="C30" i="10"/>
  <c r="L37" i="10"/>
  <c r="C37" i="10"/>
  <c r="C25" i="10"/>
  <c r="H23" i="5"/>
  <c r="F45" i="3" s="1"/>
  <c r="J23" i="5"/>
  <c r="E23" i="5"/>
  <c r="C45" i="3" s="1"/>
  <c r="G23" i="5"/>
  <c r="E45" i="3" s="1"/>
  <c r="I23" i="5"/>
  <c r="D23" i="5"/>
  <c r="B45" i="3" s="1"/>
  <c r="K23" i="5"/>
  <c r="F23" i="5"/>
  <c r="D45" i="3" s="1"/>
  <c r="I24" i="5"/>
  <c r="A46" i="3"/>
  <c r="H24" i="5"/>
  <c r="F46" i="3" s="1"/>
  <c r="I25" i="5"/>
  <c r="A47" i="3"/>
  <c r="H25" i="5"/>
  <c r="F47" i="3" s="1"/>
  <c r="K25" i="5"/>
  <c r="G24" i="5"/>
  <c r="E46" i="3" s="1"/>
  <c r="E25" i="5"/>
  <c r="C47" i="3" s="1"/>
  <c r="E24" i="5"/>
  <c r="C46" i="3" s="1"/>
  <c r="G25" i="5"/>
  <c r="E47" i="3" s="1"/>
  <c r="F24" i="5"/>
  <c r="D46" i="3" s="1"/>
  <c r="J24" i="5"/>
  <c r="D24" i="5"/>
  <c r="B46" i="3" s="1"/>
  <c r="K24" i="5"/>
  <c r="J25" i="5"/>
  <c r="D25" i="5"/>
  <c r="B47" i="3" s="1"/>
  <c r="F25" i="5"/>
  <c r="D47" i="3" s="1"/>
  <c r="E28" i="9" l="1"/>
  <c r="F28" i="9" s="1"/>
  <c r="G28" i="9" s="1"/>
  <c r="E29" i="9"/>
  <c r="F29" i="9" s="1"/>
  <c r="G29" i="9" s="1"/>
  <c r="E30" i="9"/>
  <c r="F30" i="9" s="1"/>
  <c r="G30" i="9" s="1"/>
  <c r="E31" i="9"/>
  <c r="F31" i="9" s="1"/>
  <c r="G31" i="9" s="1"/>
  <c r="E32" i="9"/>
  <c r="E27" i="9"/>
  <c r="C28" i="9"/>
  <c r="C29" i="9"/>
  <c r="C30" i="9"/>
  <c r="C31" i="9"/>
  <c r="C32" i="9"/>
  <c r="C27" i="9"/>
  <c r="F11" i="9"/>
  <c r="G5" i="9"/>
  <c r="G6" i="9"/>
  <c r="G7" i="9"/>
  <c r="G8" i="9"/>
  <c r="G9" i="9"/>
  <c r="G10" i="9"/>
  <c r="G4" i="9"/>
  <c r="F27" i="9" l="1"/>
  <c r="F32" i="9" l="1"/>
  <c r="G32" i="9" s="1"/>
  <c r="G27" i="9"/>
  <c r="G34" i="9" l="1"/>
  <c r="K5" i="9" l="1"/>
  <c r="E5" i="9" s="1"/>
  <c r="F5" i="9" s="1"/>
  <c r="L5" i="9"/>
  <c r="D5" i="9" s="1"/>
  <c r="K6" i="9"/>
  <c r="E6" i="9" s="1"/>
  <c r="F6" i="9" s="1"/>
  <c r="L6" i="9"/>
  <c r="D6" i="9" s="1"/>
  <c r="K7" i="9"/>
  <c r="E7" i="9" s="1"/>
  <c r="F7" i="9" s="1"/>
  <c r="L7" i="9"/>
  <c r="D7" i="9" s="1"/>
  <c r="K8" i="9"/>
  <c r="E8" i="9" s="1"/>
  <c r="F8" i="9" s="1"/>
  <c r="L8" i="9"/>
  <c r="D8" i="9" s="1"/>
  <c r="K9" i="9"/>
  <c r="E9" i="9" s="1"/>
  <c r="F9" i="9" s="1"/>
  <c r="L9" i="9"/>
  <c r="D9" i="9" s="1"/>
  <c r="K10" i="9"/>
  <c r="E10" i="9" s="1"/>
  <c r="F10" i="9" s="1"/>
  <c r="L10" i="9"/>
  <c r="D10" i="9" s="1"/>
  <c r="L4" i="9"/>
  <c r="D4" i="9" s="1"/>
  <c r="D11" i="9" s="1"/>
  <c r="K4" i="9"/>
  <c r="E4" i="9" s="1"/>
  <c r="F4" i="9" s="1"/>
  <c r="B13" i="8" l="1"/>
  <c r="C16" i="8" l="1"/>
  <c r="D16" i="8"/>
  <c r="E16" i="8"/>
  <c r="F16" i="8"/>
  <c r="G16" i="8"/>
  <c r="B16" i="8"/>
  <c r="B5" i="8"/>
  <c r="B8" i="8" s="1"/>
  <c r="B10" i="8"/>
  <c r="B11" i="8"/>
  <c r="B12" i="8" s="1"/>
  <c r="F26" i="7" l="1"/>
  <c r="G28" i="7" l="1"/>
  <c r="D28" i="7"/>
  <c r="G26" i="7"/>
  <c r="D26" i="7"/>
  <c r="G27" i="7"/>
  <c r="D27" i="7"/>
  <c r="G25" i="7"/>
  <c r="D25" i="7"/>
  <c r="G24" i="7"/>
  <c r="D24" i="7"/>
  <c r="G23" i="7"/>
  <c r="D23" i="7"/>
  <c r="G22" i="7"/>
  <c r="D22" i="7"/>
  <c r="E16" i="7"/>
  <c r="B27" i="7" s="1"/>
  <c r="D14" i="7"/>
  <c r="E14" i="7" s="1"/>
  <c r="C14" i="7"/>
  <c r="D13" i="7"/>
  <c r="E13" i="7" s="1"/>
  <c r="C13" i="7"/>
  <c r="D12" i="7"/>
  <c r="E12" i="7" s="1"/>
  <c r="C12" i="7"/>
  <c r="D11" i="7"/>
  <c r="E11" i="7" s="1"/>
  <c r="C11" i="7"/>
  <c r="D10" i="7"/>
  <c r="E10" i="7" s="1"/>
  <c r="C10" i="7"/>
  <c r="E7" i="7"/>
  <c r="F7" i="7" s="1"/>
  <c r="E6" i="7"/>
  <c r="F6" i="7" s="1"/>
  <c r="E5" i="7"/>
  <c r="F5" i="7" s="1"/>
  <c r="F10" i="7" l="1"/>
  <c r="F14" i="7"/>
  <c r="B29" i="7"/>
  <c r="E27" i="7"/>
  <c r="E29" i="7" s="1"/>
  <c r="F12" i="7"/>
  <c r="F11" i="7"/>
  <c r="F13" i="7"/>
  <c r="B30" i="7" l="1"/>
</calcChain>
</file>

<file path=xl/sharedStrings.xml><?xml version="1.0" encoding="utf-8"?>
<sst xmlns="http://schemas.openxmlformats.org/spreadsheetml/2006/main" count="368" uniqueCount="313">
  <si>
    <t>Battery Capacity (kWh)</t>
  </si>
  <si>
    <t>$ / kWh</t>
  </si>
  <si>
    <t>Cost / Full Charge</t>
  </si>
  <si>
    <t>Cost / Mile</t>
  </si>
  <si>
    <t>TOU-D-TEV off-peak, tier 2</t>
  </si>
  <si>
    <t>Home &amp; Electric Vehicle Plan (TOU-D-TEV)</t>
  </si>
  <si>
    <t>Summer</t>
  </si>
  <si>
    <t>Winter</t>
  </si>
  <si>
    <t>Tier 1 Rate</t>
  </si>
  <si>
    <t>Tier 2 Rate</t>
  </si>
  <si>
    <t>On-Peak</t>
  </si>
  <si>
    <r>
      <t>10 AM - 6 PM </t>
    </r>
    <r>
      <rPr>
        <i/>
        <sz val="9"/>
        <color rgb="FF666666"/>
        <rFont val="Helvetica"/>
        <family val="2"/>
      </rPr>
      <t>weekdays</t>
    </r>
  </si>
  <si>
    <t>$0.19/kWh</t>
  </si>
  <si>
    <t>$0.53/kWh</t>
  </si>
  <si>
    <t>$0.13/kWh</t>
  </si>
  <si>
    <t>$0.25/kWh</t>
  </si>
  <si>
    <t>Off-Peak</t>
  </si>
  <si>
    <t>All other times</t>
  </si>
  <si>
    <t>$0.24/kWh</t>
  </si>
  <si>
    <t>$0.12/kWh</t>
  </si>
  <si>
    <t>$0.23/kWh</t>
  </si>
  <si>
    <t>Super Off-Peak</t>
  </si>
  <si>
    <r>
      <t>Midnight to 6 AM </t>
    </r>
    <r>
      <rPr>
        <i/>
        <sz val="9"/>
        <color rgb="FF666666"/>
        <rFont val="Helvetica"/>
        <family val="2"/>
      </rPr>
      <t>every day</t>
    </r>
  </si>
  <si>
    <t>$0.10/kWh</t>
  </si>
  <si>
    <t>$0.15/kWh</t>
  </si>
  <si>
    <t>$0.16/kWh</t>
  </si>
  <si>
    <r>
      <t>Noon - 9 PM </t>
    </r>
    <r>
      <rPr>
        <i/>
        <sz val="9"/>
        <color rgb="FF666666"/>
        <rFont val="Helvetica"/>
        <family val="2"/>
      </rPr>
      <t>every day</t>
    </r>
  </si>
  <si>
    <t>$0.27/kWh</t>
  </si>
  <si>
    <t>$0.21/kWh</t>
  </si>
  <si>
    <r>
      <t>9 PM - Noon </t>
    </r>
    <r>
      <rPr>
        <i/>
        <sz val="9"/>
        <color rgb="FF666666"/>
        <rFont val="Helvetica"/>
        <family val="2"/>
      </rPr>
      <t>every day</t>
    </r>
  </si>
  <si>
    <t>TOU-EV-1 off-peak</t>
  </si>
  <si>
    <t>TOU-D-TEV super-off-peak, tier 2</t>
  </si>
  <si>
    <t>Oil Change</t>
  </si>
  <si>
    <t>30k service</t>
  </si>
  <si>
    <t>60k service</t>
  </si>
  <si>
    <t>Brakes</t>
  </si>
  <si>
    <t>Operating Cost Savings for 100k miles</t>
  </si>
  <si>
    <t>Cost</t>
  </si>
  <si>
    <t>Interval</t>
  </si>
  <si>
    <t>ref Car</t>
  </si>
  <si>
    <t>Tesla</t>
  </si>
  <si>
    <t>n Intervals</t>
  </si>
  <si>
    <t>Gas cost/mile</t>
  </si>
  <si>
    <t>TOTAL OPERATING COST</t>
  </si>
  <si>
    <t>SAVINGS</t>
  </si>
  <si>
    <t>CURRENT SOLAR PLAN, off peak</t>
  </si>
  <si>
    <t>Gasoline $/Gal</t>
  </si>
  <si>
    <t>Solar Rate Plan - TOU-D-1</t>
  </si>
  <si>
    <t>SCE programs</t>
  </si>
  <si>
    <t xml:space="preserve">http://www.sce.com/info/electric-car/residential/residential.htm?ecid=pev003sem0002 </t>
  </si>
  <si>
    <t>http://www.sce.com/info/electric-car/residential/rate-plans.htm</t>
  </si>
  <si>
    <t>Charging Station Map</t>
  </si>
  <si>
    <t>Fed tax credit</t>
  </si>
  <si>
    <t>http://www.afdc.energy.gov/laws/law/US/409</t>
  </si>
  <si>
    <t>State tax credit</t>
  </si>
  <si>
    <t>http://www.irs.gov/businesses/article/0,,id=214841,00.html</t>
  </si>
  <si>
    <t>http://energycenter.org/index.php/incentive-programs/clean-vehicle-rebate-project</t>
  </si>
  <si>
    <t>HOV Exemption</t>
  </si>
  <si>
    <t>http://www.arb.ca.gov/msprog/carpool/carpool.htm</t>
  </si>
  <si>
    <t>Free LAX parking</t>
  </si>
  <si>
    <t>http://www.lawa.org/parking/</t>
  </si>
  <si>
    <t>Insurance Discount - Farmers</t>
  </si>
  <si>
    <t>Insurance Discount - AAA</t>
  </si>
  <si>
    <t>Utility Rate Discount</t>
  </si>
  <si>
    <t>http://www.driveclean.ca.gov/incentive_detail.php?incentive_id=42&amp;type=</t>
  </si>
  <si>
    <t>TBD if better than TOU/Solar</t>
  </si>
  <si>
    <t>ECOtality free charging station</t>
  </si>
  <si>
    <t>not sure if doing for tesla</t>
  </si>
  <si>
    <t>Station Locator</t>
  </si>
  <si>
    <t>Charging "Levels"</t>
  </si>
  <si>
    <t>SoCal Chargers by Level</t>
  </si>
  <si>
    <t>http://www.irs.gov/pub/irs-pdf/f8936.pdf</t>
  </si>
  <si>
    <t>Charging</t>
  </si>
  <si>
    <t>TOU-EV-1 (with separate meter at customer expense)</t>
  </si>
  <si>
    <t>Amps (max)</t>
  </si>
  <si>
    <t>Batt kWh</t>
  </si>
  <si>
    <t>http://www.teslamotors.com/blog/model-s-efficiency-and-range</t>
  </si>
  <si>
    <t>Charge Efficiency</t>
  </si>
  <si>
    <t>http://www.teslamotors.com/charging#/basics</t>
  </si>
  <si>
    <t>$ / mile</t>
  </si>
  <si>
    <t>% Gas Cost</t>
  </si>
  <si>
    <t>Gas $/gal</t>
  </si>
  <si>
    <t>Gas MPG</t>
  </si>
  <si>
    <t>Miles/mo</t>
  </si>
  <si>
    <t>Lion Cell:</t>
  </si>
  <si>
    <t>http://www.panasonic.com/industrial/includes/pdf/ACA4000CE254-NCR18650A.pdf</t>
  </si>
  <si>
    <t>real-world kWh/mile</t>
  </si>
  <si>
    <t>Charge efficiency</t>
  </si>
  <si>
    <t>Miles/Mo</t>
  </si>
  <si>
    <t>kWh/Mo</t>
  </si>
  <si>
    <t>$ Equiv. MPG</t>
  </si>
  <si>
    <t>YOUR RATE</t>
  </si>
  <si>
    <t>charge rate is not constant…slower as batt fills</t>
  </si>
  <si>
    <t>$/mo electricity</t>
  </si>
  <si>
    <t>Charging Apps/Sites</t>
  </si>
  <si>
    <t>carstations.com</t>
  </si>
  <si>
    <t>plugshare.com</t>
  </si>
  <si>
    <t>www.afdc.energy.gov</t>
  </si>
  <si>
    <t>recargo.com</t>
  </si>
  <si>
    <t>chargepoint.com</t>
  </si>
  <si>
    <t>blinknetwork.com</t>
  </si>
  <si>
    <t>http://www.teslamotors.com/charging</t>
  </si>
  <si>
    <t>SOUTHERN CAL EDISON</t>
  </si>
  <si>
    <t>Ref Car MPG</t>
  </si>
  <si>
    <t>(there are some more elaborate/complete TCO sheets on Tesla discussions)</t>
  </si>
  <si>
    <t>$ per 1000 miles</t>
  </si>
  <si>
    <t>Lifetime in miles (for analysis)</t>
  </si>
  <si>
    <t>Annual Maintenance</t>
  </si>
  <si>
    <t>Lifetime in years (for analysis)</t>
  </si>
  <si>
    <t>Electricity Rate Schedule</t>
  </si>
  <si>
    <t>$/mo</t>
  </si>
  <si>
    <t>NOTE: sophisticated charge/discharge control could change peak values and cycle life a bunch</t>
  </si>
  <si>
    <t>Weight of Cells in Pack (lbs)</t>
  </si>
  <si>
    <t>Cell Weight (lbs)</t>
  </si>
  <si>
    <t>uses average of nominal and max voltage</t>
  </si>
  <si>
    <t>Pack Capacity (kWh)</t>
  </si>
  <si>
    <t>but what voltage is assumed for Wh capacity?</t>
  </si>
  <si>
    <t>Cell Capacity (mAh)</t>
  </si>
  <si>
    <t>to achieve high current at voltage (speed) for motor</t>
  </si>
  <si>
    <t># Parallel stacks</t>
  </si>
  <si>
    <t>Total Cells</t>
  </si>
  <si>
    <t>spares? Higher max voltage to improve life?</t>
  </si>
  <si>
    <t>"Extra" Cells per Series Stack</t>
  </si>
  <si>
    <t># Cells in Series Stack</t>
  </si>
  <si>
    <t>Cell Max Voltage</t>
  </si>
  <si>
    <t>(per TeslaTap.com)</t>
  </si>
  <si>
    <t>Cell Nominal Voltage</t>
  </si>
  <si>
    <t xml:space="preserve">Cell Used </t>
  </si>
  <si>
    <t>BATTERY ARRANGEMENT GUESSTIMATES</t>
  </si>
  <si>
    <t>Current@voltage for Power</t>
  </si>
  <si>
    <t>Current (amps)</t>
  </si>
  <si>
    <t>Pack Max Voltage</t>
  </si>
  <si>
    <t>Pack Voltage (full discharge)</t>
  </si>
  <si>
    <t>http://www.teslamotorsclub.com/showthread.php/13220-Putting-some-numbers-on-the-factors-that-affect-range</t>
  </si>
  <si>
    <t>great info on range calcs:</t>
  </si>
  <si>
    <t>Date/Time</t>
  </si>
  <si>
    <t>Temp</t>
  </si>
  <si>
    <t>EPA Range</t>
  </si>
  <si>
    <t>Notes</t>
  </si>
  <si>
    <t>hrs since last</t>
  </si>
  <si>
    <t>hrs since start</t>
  </si>
  <si>
    <t>Incr Loss Rate (mph)</t>
  </si>
  <si>
    <t>Avg Loss Rate (mph)</t>
  </si>
  <si>
    <t>gained back as temp up</t>
  </si>
  <si>
    <t>temp down and time</t>
  </si>
  <si>
    <t>Trip LA to Palo Alto…had to leave Tesla in Bakersfield since supercharger wasn't working with my car…</t>
  </si>
  <si>
    <t>Driving MPH</t>
  </si>
  <si>
    <t>Charge kW</t>
  </si>
  <si>
    <t>SUPERCHARGE</t>
  </si>
  <si>
    <t>120Vx12A (15A circuit)</t>
  </si>
  <si>
    <t>240Vx24A (30A circuit)</t>
  </si>
  <si>
    <t>240Vx40A (50A circuit)</t>
  </si>
  <si>
    <t>240Vx80A (100A circuit)</t>
  </si>
  <si>
    <t>More about battery pack</t>
  </si>
  <si>
    <t>http://www.teslamotors.com/blog/bit-about-batteries</t>
  </si>
  <si>
    <t>Items that are assumed same not included (tires, wiper blades, etc)
Depreciation TBD
Cost of capital not included
Time value of cash flows not considered (NPV)
Financing costs/cost-of-cash not considered</t>
  </si>
  <si>
    <t>Simple Operating Cost Comparison</t>
  </si>
  <si>
    <t>Fuel (gas/electricity)</t>
  </si>
  <si>
    <t>Incr Loss Rate (Wh/h)</t>
  </si>
  <si>
    <t>Avg Temp Over Period</t>
  </si>
  <si>
    <t xml:space="preserve">Theory: </t>
  </si>
  <si>
    <t>Kbt</t>
  </si>
  <si>
    <t>Tb</t>
  </si>
  <si>
    <t>Hours</t>
  </si>
  <si>
    <t>Avg Temp</t>
  </si>
  <si>
    <t>Pred</t>
  </si>
  <si>
    <t>Err</t>
  </si>
  <si>
    <t>Loss</t>
  </si>
  <si>
    <t>Kc</t>
  </si>
  <si>
    <t>Eb = (Kc+ Kbt*max(0,(Tb-Text)))*t</t>
  </si>
  <si>
    <t>see discussion</t>
  </si>
  <si>
    <r>
      <t>Charge Hours per Driving Hour</t>
    </r>
    <r>
      <rPr>
        <sz val="10"/>
        <color theme="6" tint="-0.499984740745262"/>
        <rFont val="Calibri"/>
        <family val="2"/>
        <scheme val="minor"/>
      </rPr>
      <t xml:space="preserve"> (72F, 85% efficiency)</t>
    </r>
  </si>
  <si>
    <t>derate 10-15% for hot/cold conditions</t>
  </si>
  <si>
    <t>http://EVTripPlanner.com/</t>
  </si>
  <si>
    <t>Charger Max kW</t>
  </si>
  <si>
    <t>Battery kWh</t>
  </si>
  <si>
    <t>Charge Volts</t>
  </si>
  <si>
    <t>SUPER</t>
  </si>
  <si>
    <t>CHARGE</t>
  </si>
  <si>
    <t>80% circuit rating max</t>
  </si>
  <si>
    <t>to battery capacity entered above</t>
  </si>
  <si>
    <r>
      <t>Driving Speed</t>
    </r>
    <r>
      <rPr>
        <i/>
        <sz val="10"/>
        <rFont val="Calibri"/>
        <family val="2"/>
        <scheme val="minor"/>
      </rPr>
      <t xml:space="preserve"> (mph "airspeed" w/ wind)</t>
    </r>
  </si>
  <si>
    <t>CHARGE RATES/TIMES</t>
  </si>
  <si>
    <r>
      <t>Wh/mi-MS = 0.0637mph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- 2.8589mph + 226.55</t>
    </r>
  </si>
  <si>
    <r>
      <t>Charge Hours per Driving Hour</t>
    </r>
    <r>
      <rPr>
        <sz val="10"/>
        <color theme="6" tint="-0.499984740745262"/>
        <rFont val="Calibri"/>
        <family val="2"/>
        <scheme val="minor"/>
      </rPr>
      <t xml:space="preserve"> (72F, effic above)</t>
    </r>
  </si>
  <si>
    <t>at efficiency, Wh/mi above</t>
  </si>
  <si>
    <t>Charge mph ("rated")</t>
  </si>
  <si>
    <t>at efficiency above, rated Wh/mi</t>
  </si>
  <si>
    <t>Circuit Rated Amps</t>
  </si>
  <si>
    <t>Plan on 15 miles/day of loss when unplugged w/o driving</t>
  </si>
  <si>
    <t>INPUTS (yellow)</t>
  </si>
  <si>
    <t>max capacity</t>
  </si>
  <si>
    <t>EPA rated Wh/mi</t>
  </si>
  <si>
    <t>Your typical Wh/mi</t>
  </si>
  <si>
    <t>change to update tables</t>
  </si>
  <si>
    <t>Tesla Model S Charging Quick Reference</t>
  </si>
  <si>
    <t>http://evtripplanner.com/calcs.php</t>
  </si>
  <si>
    <t>Wh/mi</t>
  </si>
  <si>
    <t>mph</t>
  </si>
  <si>
    <t>EV Electricity Cost</t>
  </si>
  <si>
    <t>Gas $/mo</t>
  </si>
  <si>
    <t>$/mo Gas Savings</t>
  </si>
  <si>
    <t>5 cycle test course</t>
  </si>
  <si>
    <t>Non-driving hrs/day</t>
  </si>
  <si>
    <t>Non-driving watts</t>
  </si>
  <si>
    <t>car draws power even when not driving</t>
  </si>
  <si>
    <t>loses 13-15 rated mi/day at 70F</t>
  </si>
  <si>
    <t>includes parasitic losses when not driving</t>
  </si>
  <si>
    <t>Non-driving kWh/mo</t>
  </si>
  <si>
    <t>Driving kWh/mo</t>
  </si>
  <si>
    <t>Total kWh/mo</t>
  </si>
  <si>
    <t>OnP</t>
  </si>
  <si>
    <t>OfP</t>
  </si>
  <si>
    <t>SofP</t>
  </si>
  <si>
    <t>Winter L1</t>
  </si>
  <si>
    <t>Winter L2</t>
  </si>
  <si>
    <t>SCE RATES</t>
  </si>
  <si>
    <t>Weighted Avg Rate</t>
  </si>
  <si>
    <t>kWh</t>
  </si>
  <si>
    <t>$</t>
  </si>
  <si>
    <t>MY PERSONAL ESTIMATE</t>
  </si>
  <si>
    <t>extra cost due to lack of charge scheduling</t>
  </si>
  <si>
    <t>TOTAL USAGE</t>
  </si>
  <si>
    <t>EST CAR USAGE</t>
  </si>
  <si>
    <t>673 kWh solar produced</t>
  </si>
  <si>
    <t>total for house</t>
  </si>
  <si>
    <t>Car Total</t>
  </si>
  <si>
    <t>TOU-DTEV-SDP-O</t>
  </si>
  <si>
    <t>https://www.sce.com/wps/portal/home/regulatory/tariff-books/rates-pricing-choices/residential-rates/!ut/p/b1/tZHLbsIwEEW_hQVLy4MTEmcZUAuhPISo1CQbZBzHmAY7JG7V_n0dxKJSSxGLeuV5-I7PHZzjFOeavSvJrDKaVV2cB9sBncTTZAMJna89SEajZBU8-h48EfyCc5xzbWu7x1nLxZYbbYW2W6H7cL</t>
  </si>
  <si>
    <t>feb '13 bill</t>
  </si>
  <si>
    <r>
      <t>EV Quick Reference Card</t>
    </r>
    <r>
      <rPr>
        <sz val="12"/>
        <color theme="1"/>
        <rFont val="Calibri"/>
        <family val="2"/>
        <scheme val="minor"/>
      </rPr>
      <t xml:space="preserve"> (nice to have in glove box)</t>
    </r>
  </si>
  <si>
    <t>From 2012 10Q: we are presently using lithium-ion battery cells based on the 18650 form factor in all of our battery packs</t>
  </si>
  <si>
    <t>The first function is accomplished through the drive inverter, which converts direct current (DC) from the battery pack into alternating current (AC) to drive our three-phase induction motors. The drive inverter also converts the AC generated by regenerative braking back into DC for electrical storage in the battery pack.</t>
  </si>
  <si>
    <t>we redesigned the heating, ventilation and air conditioning (HVAC) system to integrate with the battery thermal management system</t>
  </si>
  <si>
    <t>Average Displayed Wh/mile</t>
  </si>
  <si>
    <t>Gross Wh/mile</t>
  </si>
  <si>
    <t>estimated Wh/mi from wall</t>
  </si>
  <si>
    <t>End-to-end efficiency</t>
  </si>
  <si>
    <t>energy used driving / energy from wall</t>
  </si>
  <si>
    <t>expected to go down w/ future SW upgrade</t>
  </si>
  <si>
    <t>kWh Wall</t>
  </si>
  <si>
    <t>kWh Odo</t>
  </si>
  <si>
    <t>http://shop.teslamotors.com/collections/model-s-charging-adapters</t>
  </si>
  <si>
    <t>http://www.evseadapters.com/adapters-for-tesla-model-s.php</t>
  </si>
  <si>
    <t>http://cosmacelf.net/Home%20Made%20Adapters.pdf</t>
  </si>
  <si>
    <t>Tesla P85 Est Range @ 72F, max charge</t>
  </si>
  <si>
    <t>max of built-in dual charger (inverter/rectifier)</t>
  </si>
  <si>
    <t>P85S-21</t>
  </si>
  <si>
    <t>Empty Weight</t>
  </si>
  <si>
    <t>GVWR</t>
  </si>
  <si>
    <t>GAWR-Front</t>
  </si>
  <si>
    <t>GAWR-Rear</t>
  </si>
  <si>
    <t>Max Payload (per Tire specs)</t>
  </si>
  <si>
    <t>Max Payload (per GVWR)</t>
  </si>
  <si>
    <t>Max 300 lbs in Frunk</t>
  </si>
  <si>
    <t>Max Tire Load (each, 21x8.5J)</t>
  </si>
  <si>
    <t>http://www.teslamotors.com/models/specs</t>
  </si>
  <si>
    <t>60S</t>
  </si>
  <si>
    <t>Continental Extreme Contact DW 245/35R21</t>
  </si>
  <si>
    <t>Tires</t>
  </si>
  <si>
    <t>Weight distribution approx. 48/52 F/R</t>
  </si>
  <si>
    <t>Goodyear Eagle RS-A2 245/45R19</t>
  </si>
  <si>
    <t>Electricity Costs</t>
  </si>
  <si>
    <t>Weight &amp; Capacity</t>
  </si>
  <si>
    <t>not including parasitic losses (.6mph parked)</t>
  </si>
  <si>
    <t>Reported Rated Range Remaining</t>
  </si>
  <si>
    <t>Model</t>
  </si>
  <si>
    <t>EPA Rated Range</t>
  </si>
  <si>
    <t>P85 (19" wheels)</t>
  </si>
  <si>
    <t>P85 (21" wheels)</t>
  </si>
  <si>
    <t>P85+</t>
  </si>
  <si>
    <t>NOTE: these numbers are *not* the total electricity cost - see 'ElectricityCost' sheet for analysis</t>
  </si>
  <si>
    <t>Reported Total Miles</t>
  </si>
  <si>
    <t>Reported kWh Used</t>
  </si>
  <si>
    <t>Calculated Battery kWh Remaining</t>
  </si>
  <si>
    <t>"Missing" Energy (Initial-Used-Remaining)</t>
  </si>
  <si>
    <t>Your Model</t>
  </si>
  <si>
    <t>Reported Avg Wh/mile</t>
  </si>
  <si>
    <t>Ideal Range</t>
  </si>
  <si>
    <t>EPA Rated Wh/mile</t>
  </si>
  <si>
    <t>Tesla Rated Wh/mile (?)</t>
  </si>
  <si>
    <t>est 6% more energy</t>
  </si>
  <si>
    <t>Wh/mi Reporting Error</t>
  </si>
  <si>
    <t>Start</t>
  </si>
  <si>
    <t>End</t>
  </si>
  <si>
    <t>Diff</t>
  </si>
  <si>
    <t>Calculated Wh/mile:</t>
  </si>
  <si>
    <t>EVTripPlanner Route Energy Planner</t>
  </si>
  <si>
    <t>http://evtripplanner.com/planner/carview_beta</t>
  </si>
  <si>
    <t>Measuring SOC (State of Charge):</t>
  </si>
  <si>
    <t>http://www.mpoweruk.com/soc.htm</t>
  </si>
  <si>
    <t>Tesla Model S Overall Meter-to-Miles Efficiency</t>
  </si>
  <si>
    <t>Energy-saver base load</t>
  </si>
  <si>
    <t>rated miles/day</t>
  </si>
  <si>
    <t>Watts</t>
  </si>
  <si>
    <t>Standard base load</t>
  </si>
  <si>
    <t>Charger Efficiency</t>
  </si>
  <si>
    <t>while this can be as high as 90% at optimum load, it varies</t>
  </si>
  <si>
    <t>Average Actual Wh/mi</t>
  </si>
  <si>
    <t>your long-term historical average</t>
  </si>
  <si>
    <t>Wh/Rated Mile</t>
  </si>
  <si>
    <t>Tesla does not publish this number…my estimate</t>
  </si>
  <si>
    <t>NOTE: "vampire" losses (parked energy usage) varies with temperature (more when cold)</t>
  </si>
  <si>
    <t>Monthly Baseline Energy Usage (w/o driving)</t>
  </si>
  <si>
    <t>Baseline Usage (energy saver)</t>
  </si>
  <si>
    <t>kWh/mo</t>
  </si>
  <si>
    <t>Baseline Usage (standard)</t>
  </si>
  <si>
    <t>MONTHLY USAGE &amp; EFFICIENCY, SAVER MODE (softrware v5.x and above)</t>
  </si>
  <si>
    <t>Miles Per Month</t>
  </si>
  <si>
    <t>Driving Usage (kW/mo)</t>
  </si>
  <si>
    <t>Est. Meter Usage (kW/mo)</t>
  </si>
  <si>
    <t>Meter-to-miles efficiency</t>
  </si>
  <si>
    <t>MONTHLY USAGE &amp; EFFICIENCY, STANDARD MODE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</si>
</sst>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_(* #,##0_);_(* \(#,##0\);_(* &quot;-&quot;??_);_(@_)"/>
    <numFmt numFmtId="167" formatCode="_(&quot;$&quot;* #,##0_);_(&quot;$&quot;* \(#,##0\);_(&quot;$&quot;* &quot;-&quot;??_);_(@_)"/>
    <numFmt numFmtId="168" formatCode="0.0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666666"/>
      <name val="Helvetica"/>
      <family val="2"/>
    </font>
    <font>
      <b/>
      <sz val="9"/>
      <color rgb="FF666666"/>
      <name val="Helvetica"/>
      <family val="2"/>
    </font>
    <font>
      <b/>
      <sz val="7"/>
      <color rgb="FF666666"/>
      <name val="Helvetica"/>
      <family val="2"/>
    </font>
    <font>
      <i/>
      <sz val="9"/>
      <color rgb="FF666666"/>
      <name val="Helvetica"/>
      <family val="2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8"/>
      <color theme="0" tint="-0.14999847407452621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sz val="10"/>
      <color theme="6" tint="-0.499984740745262"/>
      <name val="Calibri"/>
      <family val="2"/>
      <scheme val="minor"/>
    </font>
    <font>
      <i/>
      <sz val="9"/>
      <color theme="6" tint="-0.499984740745262"/>
      <name val="Calibri"/>
      <family val="2"/>
      <scheme val="minor"/>
    </font>
    <font>
      <i/>
      <u/>
      <sz val="11"/>
      <color theme="1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u/>
      <sz val="10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color rgb="FF666666"/>
      <name val="Arial"/>
      <family val="2"/>
    </font>
    <font>
      <b/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DFAD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7D7D7"/>
      </bottom>
      <diagonal/>
    </border>
    <border>
      <left style="medium">
        <color rgb="FFDEDDE2"/>
      </left>
      <right/>
      <top/>
      <bottom style="medium">
        <color rgb="FFD7D7D7"/>
      </bottom>
      <diagonal/>
    </border>
    <border>
      <left style="medium">
        <color rgb="FFDEDDE2"/>
      </left>
      <right/>
      <top/>
      <bottom/>
      <diagonal/>
    </border>
    <border>
      <left style="medium">
        <color rgb="FFDEDDE2"/>
      </left>
      <right style="medium">
        <color rgb="FFDEDDE2"/>
      </right>
      <top style="medium">
        <color rgb="FFD7D7D7"/>
      </top>
      <bottom/>
      <diagonal/>
    </border>
    <border>
      <left style="medium">
        <color rgb="FFDEDDE2"/>
      </left>
      <right style="medium">
        <color rgb="FFDEDDE2"/>
      </right>
      <top/>
      <bottom/>
      <diagonal/>
    </border>
    <border>
      <left style="medium">
        <color rgb="FFDEDDE2"/>
      </left>
      <right/>
      <top style="medium">
        <color rgb="FFD7D7D7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354">
    <xf numFmtId="0" fontId="0" fillId="0" borderId="0" xfId="0"/>
    <xf numFmtId="0" fontId="4" fillId="0" borderId="3" xfId="0" applyFont="1" applyBorder="1" applyAlignment="1">
      <alignment horizontal="center" vertical="center" wrapText="1"/>
    </xf>
    <xf numFmtId="0" fontId="3" fillId="3" borderId="0" xfId="0" applyFont="1" applyFill="1" applyAlignment="1">
      <alignment horizontal="left" vertical="center" wrapText="1"/>
    </xf>
    <xf numFmtId="0" fontId="8" fillId="0" borderId="0" xfId="3"/>
    <xf numFmtId="0" fontId="0" fillId="0" borderId="0" xfId="0"/>
    <xf numFmtId="167" fontId="0" fillId="0" borderId="0" xfId="2" applyNumberFormat="1" applyFont="1"/>
    <xf numFmtId="0" fontId="0" fillId="0" borderId="0" xfId="0" applyAlignment="1">
      <alignment horizontal="left"/>
    </xf>
    <xf numFmtId="9" fontId="0" fillId="0" borderId="0" xfId="0" applyNumberFormat="1" applyAlignment="1">
      <alignment horizontal="left"/>
    </xf>
    <xf numFmtId="0" fontId="2" fillId="0" borderId="0" xfId="0" applyFont="1" applyAlignment="1">
      <alignment horizontal="righ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8" fillId="0" borderId="0" xfId="3" applyAlignment="1">
      <alignment vertical="center" wrapText="1"/>
    </xf>
    <xf numFmtId="2" fontId="2" fillId="0" borderId="0" xfId="0" applyNumberFormat="1" applyFont="1" applyBorder="1" applyAlignment="1">
      <alignment horizontal="center" vertical="center" wrapText="1"/>
    </xf>
    <xf numFmtId="44" fontId="2" fillId="0" borderId="1" xfId="2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right" vertical="center" wrapText="1"/>
    </xf>
    <xf numFmtId="0" fontId="0" fillId="0" borderId="1" xfId="0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4" fontId="0" fillId="2" borderId="1" xfId="2" applyFont="1" applyFill="1" applyBorder="1" applyAlignment="1">
      <alignment vertical="center" wrapText="1"/>
    </xf>
    <xf numFmtId="44" fontId="0" fillId="0" borderId="1" xfId="0" applyNumberFormat="1" applyBorder="1" applyAlignment="1">
      <alignment vertical="center" wrapText="1"/>
    </xf>
    <xf numFmtId="166" fontId="0" fillId="0" borderId="1" xfId="1" applyNumberFormat="1" applyFont="1" applyBorder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0" fontId="2" fillId="0" borderId="0" xfId="0" applyFont="1" applyAlignment="1">
      <alignment vertical="center" wrapText="1"/>
    </xf>
    <xf numFmtId="44" fontId="0" fillId="0" borderId="1" xfId="0" applyNumberFormat="1" applyBorder="1" applyAlignment="1">
      <alignment horizontal="center" vertical="center" wrapText="1"/>
    </xf>
    <xf numFmtId="167" fontId="0" fillId="0" borderId="1" xfId="2" applyNumberFormat="1" applyFont="1" applyBorder="1" applyAlignment="1">
      <alignment vertical="center" wrapText="1"/>
    </xf>
    <xf numFmtId="165" fontId="0" fillId="0" borderId="1" xfId="1" applyNumberFormat="1" applyFont="1" applyBorder="1" applyAlignment="1">
      <alignment vertical="center" wrapText="1"/>
    </xf>
    <xf numFmtId="44" fontId="0" fillId="0" borderId="1" xfId="2" applyNumberFormat="1" applyFont="1" applyBorder="1" applyAlignment="1">
      <alignment vertical="center" wrapText="1"/>
    </xf>
    <xf numFmtId="167" fontId="0" fillId="0" borderId="0" xfId="2" applyNumberFormat="1" applyFont="1" applyAlignment="1">
      <alignment vertical="center" wrapText="1"/>
    </xf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Fill="1" applyBorder="1" applyAlignment="1">
      <alignment horizontal="right"/>
    </xf>
    <xf numFmtId="0" fontId="10" fillId="0" borderId="0" xfId="0" applyFont="1"/>
    <xf numFmtId="0" fontId="11" fillId="0" borderId="0" xfId="3" applyFont="1"/>
    <xf numFmtId="1" fontId="0" fillId="0" borderId="1" xfId="0" applyNumberFormat="1" applyBorder="1" applyAlignment="1">
      <alignment horizontal="center"/>
    </xf>
    <xf numFmtId="9" fontId="0" fillId="0" borderId="1" xfId="4" applyFont="1" applyBorder="1" applyAlignment="1">
      <alignment horizontal="center"/>
    </xf>
    <xf numFmtId="1" fontId="0" fillId="0" borderId="1" xfId="0" applyNumberFormat="1" applyFont="1" applyBorder="1" applyAlignment="1">
      <alignment horizontal="center"/>
    </xf>
    <xf numFmtId="0" fontId="7" fillId="0" borderId="0" xfId="0" applyFont="1"/>
    <xf numFmtId="0" fontId="4" fillId="0" borderId="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8" fillId="0" borderId="0" xfId="3" applyAlignment="1">
      <alignment vertical="center"/>
    </xf>
    <xf numFmtId="0" fontId="4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2" fillId="0" borderId="0" xfId="0" applyFont="1" applyAlignment="1">
      <alignment horizontal="center"/>
    </xf>
    <xf numFmtId="43" fontId="2" fillId="2" borderId="1" xfId="1" applyFont="1" applyFill="1" applyBorder="1" applyAlignment="1">
      <alignment horizontal="center" vertical="center" wrapText="1"/>
    </xf>
    <xf numFmtId="166" fontId="0" fillId="0" borderId="1" xfId="1" applyNumberFormat="1" applyFont="1" applyBorder="1" applyAlignment="1">
      <alignment horizontal="center" vertical="center" wrapText="1"/>
    </xf>
    <xf numFmtId="167" fontId="0" fillId="0" borderId="1" xfId="0" applyNumberFormat="1" applyBorder="1" applyAlignment="1">
      <alignment vertical="center" wrapText="1"/>
    </xf>
    <xf numFmtId="0" fontId="8" fillId="0" borderId="0" xfId="3" applyAlignment="1">
      <alignment horizontal="left" vertical="center"/>
    </xf>
    <xf numFmtId="0" fontId="0" fillId="2" borderId="1" xfId="0" applyFill="1" applyBorder="1" applyAlignment="1">
      <alignment horizontal="center"/>
    </xf>
    <xf numFmtId="44" fontId="0" fillId="2" borderId="1" xfId="2" applyFont="1" applyFill="1" applyBorder="1" applyAlignment="1">
      <alignment horizontal="center"/>
    </xf>
    <xf numFmtId="0" fontId="0" fillId="0" borderId="0" xfId="0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vertical="center" textRotation="90"/>
    </xf>
    <xf numFmtId="0" fontId="13" fillId="0" borderId="0" xfId="0" applyFont="1"/>
    <xf numFmtId="0" fontId="9" fillId="0" borderId="0" xfId="0" applyFont="1" applyAlignment="1">
      <alignment vertical="center" wrapText="1"/>
    </xf>
    <xf numFmtId="167" fontId="0" fillId="2" borderId="1" xfId="2" applyNumberFormat="1" applyFont="1" applyFill="1" applyBorder="1" applyAlignment="1">
      <alignment vertical="center" wrapText="1"/>
    </xf>
    <xf numFmtId="166" fontId="0" fillId="2" borderId="1" xfId="1" applyNumberFormat="1" applyFont="1" applyFill="1" applyBorder="1" applyAlignment="1">
      <alignment vertical="center" wrapText="1"/>
    </xf>
    <xf numFmtId="167" fontId="9" fillId="0" borderId="0" xfId="0" applyNumberFormat="1" applyFont="1" applyAlignment="1">
      <alignment vertical="center" wrapText="1"/>
    </xf>
    <xf numFmtId="0" fontId="0" fillId="2" borderId="1" xfId="0" applyFill="1" applyBorder="1" applyAlignment="1">
      <alignment horizontal="center" vertical="center" wrapText="1"/>
    </xf>
    <xf numFmtId="0" fontId="15" fillId="0" borderId="1" xfId="0" applyFont="1" applyBorder="1" applyAlignment="1">
      <alignment horizontal="right" vertical="center" wrapText="1"/>
    </xf>
    <xf numFmtId="44" fontId="16" fillId="2" borderId="1" xfId="2" applyFont="1" applyFill="1" applyBorder="1" applyAlignment="1">
      <alignment vertical="center" wrapText="1"/>
    </xf>
    <xf numFmtId="44" fontId="16" fillId="0" borderId="1" xfId="0" applyNumberFormat="1" applyFont="1" applyBorder="1" applyAlignment="1">
      <alignment vertical="center" wrapText="1"/>
    </xf>
    <xf numFmtId="166" fontId="16" fillId="0" borderId="1" xfId="1" applyNumberFormat="1" applyFont="1" applyBorder="1" applyAlignment="1">
      <alignment horizontal="center" vertical="center" wrapText="1"/>
    </xf>
    <xf numFmtId="167" fontId="16" fillId="0" borderId="1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17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22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2" fontId="0" fillId="0" borderId="1" xfId="0" applyNumberFormat="1" applyBorder="1" applyAlignment="1">
      <alignment horizontal="center"/>
    </xf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wrapText="1"/>
    </xf>
    <xf numFmtId="164" fontId="13" fillId="0" borderId="0" xfId="0" applyNumberFormat="1" applyFont="1" applyAlignment="1">
      <alignment horizontal="center" wrapText="1"/>
    </xf>
    <xf numFmtId="0" fontId="0" fillId="0" borderId="0" xfId="0" applyAlignment="1">
      <alignment horizontal="center"/>
    </xf>
    <xf numFmtId="164" fontId="0" fillId="0" borderId="1" xfId="0" applyNumberFormat="1" applyFont="1" applyBorder="1" applyAlignment="1">
      <alignment horizontal="center"/>
    </xf>
    <xf numFmtId="0" fontId="19" fillId="0" borderId="0" xfId="0" applyFont="1" applyAlignment="1">
      <alignment vertical="top"/>
    </xf>
    <xf numFmtId="0" fontId="20" fillId="0" borderId="0" xfId="0" applyFont="1"/>
    <xf numFmtId="0" fontId="21" fillId="0" borderId="0" xfId="0" applyFont="1" applyAlignment="1">
      <alignment horizontal="right"/>
    </xf>
    <xf numFmtId="0" fontId="21" fillId="0" borderId="1" xfId="0" applyFont="1" applyBorder="1" applyAlignment="1">
      <alignment horizontal="center"/>
    </xf>
    <xf numFmtId="164" fontId="20" fillId="0" borderId="1" xfId="0" applyNumberFormat="1" applyFont="1" applyBorder="1" applyAlignment="1">
      <alignment horizontal="center"/>
    </xf>
    <xf numFmtId="164" fontId="21" fillId="0" borderId="0" xfId="0" applyNumberFormat="1" applyFont="1"/>
    <xf numFmtId="0" fontId="21" fillId="0" borderId="0" xfId="0" applyFont="1" applyAlignment="1">
      <alignment wrapText="1"/>
    </xf>
    <xf numFmtId="0" fontId="23" fillId="0" borderId="0" xfId="0" applyFont="1"/>
    <xf numFmtId="167" fontId="7" fillId="0" borderId="0" xfId="0" applyNumberFormat="1" applyFont="1" applyBorder="1"/>
    <xf numFmtId="44" fontId="14" fillId="0" borderId="1" xfId="0" applyNumberFormat="1" applyFont="1" applyBorder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43" fontId="0" fillId="0" borderId="0" xfId="1" applyFont="1" applyAlignment="1">
      <alignment horizontal="center"/>
    </xf>
    <xf numFmtId="1" fontId="0" fillId="0" borderId="0" xfId="0" applyNumberFormat="1" applyAlignment="1">
      <alignment horizontal="center"/>
    </xf>
    <xf numFmtId="166" fontId="0" fillId="0" borderId="0" xfId="0" applyNumberFormat="1"/>
    <xf numFmtId="166" fontId="0" fillId="0" borderId="0" xfId="0" applyNumberFormat="1" applyAlignment="1">
      <alignment horizontal="center"/>
    </xf>
    <xf numFmtId="166" fontId="0" fillId="0" borderId="0" xfId="1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/>
    </xf>
    <xf numFmtId="0" fontId="27" fillId="0" borderId="1" xfId="0" applyFont="1" applyBorder="1" applyAlignment="1">
      <alignment horizontal="center"/>
    </xf>
    <xf numFmtId="1" fontId="26" fillId="0" borderId="1" xfId="0" applyNumberFormat="1" applyFont="1" applyBorder="1" applyAlignment="1">
      <alignment horizontal="center"/>
    </xf>
    <xf numFmtId="164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 vertical="center"/>
    </xf>
    <xf numFmtId="0" fontId="31" fillId="0" borderId="0" xfId="0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" fontId="14" fillId="2" borderId="1" xfId="0" applyNumberFormat="1" applyFont="1" applyFill="1" applyBorder="1" applyAlignment="1">
      <alignment horizontal="center"/>
    </xf>
    <xf numFmtId="9" fontId="14" fillId="2" borderId="1" xfId="0" applyNumberFormat="1" applyFont="1" applyFill="1" applyBorder="1" applyAlignment="1">
      <alignment horizontal="center"/>
    </xf>
    <xf numFmtId="164" fontId="26" fillId="0" borderId="1" xfId="0" applyNumberFormat="1" applyFont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0" fontId="8" fillId="0" borderId="0" xfId="3" applyAlignment="1"/>
    <xf numFmtId="0" fontId="28" fillId="0" borderId="0" xfId="3" applyFont="1" applyAlignment="1"/>
    <xf numFmtId="9" fontId="0" fillId="0" borderId="12" xfId="4" applyFont="1" applyBorder="1" applyAlignment="1">
      <alignment horizontal="center"/>
    </xf>
    <xf numFmtId="9" fontId="0" fillId="0" borderId="13" xfId="4" applyFont="1" applyBorder="1" applyAlignment="1">
      <alignment horizontal="center"/>
    </xf>
    <xf numFmtId="9" fontId="0" fillId="0" borderId="14" xfId="4" applyFont="1" applyBorder="1" applyAlignment="1">
      <alignment horizontal="center"/>
    </xf>
    <xf numFmtId="9" fontId="0" fillId="0" borderId="15" xfId="4" applyFont="1" applyBorder="1" applyAlignment="1">
      <alignment horizontal="center"/>
    </xf>
    <xf numFmtId="9" fontId="0" fillId="0" borderId="16" xfId="4" applyFont="1" applyBorder="1" applyAlignment="1">
      <alignment horizontal="center"/>
    </xf>
    <xf numFmtId="9" fontId="0" fillId="0" borderId="17" xfId="4" applyFont="1" applyBorder="1" applyAlignment="1">
      <alignment horizontal="center"/>
    </xf>
    <xf numFmtId="9" fontId="0" fillId="0" borderId="18" xfId="4" applyFont="1" applyBorder="1" applyAlignment="1">
      <alignment horizontal="center"/>
    </xf>
    <xf numFmtId="9" fontId="0" fillId="0" borderId="19" xfId="4" applyFont="1" applyBorder="1" applyAlignment="1">
      <alignment horizontal="center"/>
    </xf>
    <xf numFmtId="9" fontId="0" fillId="0" borderId="20" xfId="4" applyFont="1" applyBorder="1" applyAlignment="1">
      <alignment horizontal="center"/>
    </xf>
    <xf numFmtId="9" fontId="0" fillId="0" borderId="21" xfId="4" applyFont="1" applyBorder="1" applyAlignment="1">
      <alignment horizontal="center"/>
    </xf>
    <xf numFmtId="9" fontId="0" fillId="0" borderId="22" xfId="4" applyFont="1" applyBorder="1" applyAlignment="1">
      <alignment horizontal="center"/>
    </xf>
    <xf numFmtId="9" fontId="0" fillId="0" borderId="23" xfId="4" applyFont="1" applyBorder="1" applyAlignment="1">
      <alignment horizontal="center"/>
    </xf>
    <xf numFmtId="44" fontId="14" fillId="0" borderId="12" xfId="0" applyNumberFormat="1" applyFont="1" applyBorder="1"/>
    <xf numFmtId="44" fontId="14" fillId="0" borderId="13" xfId="0" applyNumberFormat="1" applyFont="1" applyBorder="1"/>
    <xf numFmtId="44" fontId="14" fillId="0" borderId="14" xfId="0" applyNumberFormat="1" applyFont="1" applyBorder="1"/>
    <xf numFmtId="44" fontId="14" fillId="0" borderId="15" xfId="0" applyNumberFormat="1" applyFont="1" applyBorder="1"/>
    <xf numFmtId="44" fontId="14" fillId="0" borderId="16" xfId="0" applyNumberFormat="1" applyFont="1" applyBorder="1"/>
    <xf numFmtId="44" fontId="14" fillId="0" borderId="17" xfId="0" applyNumberFormat="1" applyFont="1" applyBorder="1"/>
    <xf numFmtId="44" fontId="14" fillId="0" borderId="18" xfId="0" applyNumberFormat="1" applyFont="1" applyBorder="1"/>
    <xf numFmtId="44" fontId="14" fillId="0" borderId="19" xfId="0" applyNumberFormat="1" applyFont="1" applyBorder="1"/>
    <xf numFmtId="44" fontId="14" fillId="0" borderId="20" xfId="0" applyNumberFormat="1" applyFont="1" applyBorder="1"/>
    <xf numFmtId="44" fontId="14" fillId="0" borderId="21" xfId="0" applyNumberFormat="1" applyFont="1" applyBorder="1"/>
    <xf numFmtId="44" fontId="14" fillId="0" borderId="22" xfId="0" applyNumberFormat="1" applyFont="1" applyBorder="1"/>
    <xf numFmtId="44" fontId="14" fillId="0" borderId="23" xfId="0" applyNumberFormat="1" applyFont="1" applyBorder="1"/>
    <xf numFmtId="1" fontId="2" fillId="0" borderId="1" xfId="0" applyNumberFormat="1" applyFont="1" applyBorder="1" applyAlignment="1">
      <alignment horizontal="center"/>
    </xf>
    <xf numFmtId="167" fontId="2" fillId="0" borderId="1" xfId="2" applyNumberFormat="1" applyFont="1" applyBorder="1"/>
    <xf numFmtId="0" fontId="7" fillId="0" borderId="0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" fontId="0" fillId="4" borderId="1" xfId="0" applyNumberFormat="1" applyFill="1" applyBorder="1" applyAlignment="1">
      <alignment horizontal="center"/>
    </xf>
    <xf numFmtId="1" fontId="0" fillId="4" borderId="24" xfId="0" applyNumberFormat="1" applyFill="1" applyBorder="1" applyAlignment="1">
      <alignment horizontal="center"/>
    </xf>
    <xf numFmtId="1" fontId="0" fillId="4" borderId="25" xfId="0" applyNumberFormat="1" applyFill="1" applyBorder="1" applyAlignment="1">
      <alignment horizontal="center"/>
    </xf>
    <xf numFmtId="1" fontId="0" fillId="4" borderId="26" xfId="0" applyNumberFormat="1" applyFill="1" applyBorder="1" applyAlignment="1">
      <alignment horizontal="center"/>
    </xf>
    <xf numFmtId="168" fontId="0" fillId="0" borderId="1" xfId="0" applyNumberFormat="1" applyBorder="1"/>
    <xf numFmtId="1" fontId="0" fillId="0" borderId="1" xfId="0" applyNumberFormat="1" applyBorder="1"/>
    <xf numFmtId="44" fontId="0" fillId="0" borderId="1" xfId="2" applyFont="1" applyBorder="1"/>
    <xf numFmtId="168" fontId="0" fillId="2" borderId="1" xfId="0" applyNumberFormat="1" applyFill="1" applyBorder="1"/>
    <xf numFmtId="0" fontId="0" fillId="2" borderId="1" xfId="0" applyFill="1" applyBorder="1"/>
    <xf numFmtId="167" fontId="34" fillId="0" borderId="1" xfId="0" applyNumberFormat="1" applyFont="1" applyBorder="1"/>
    <xf numFmtId="167" fontId="34" fillId="0" borderId="14" xfId="0" applyNumberFormat="1" applyFont="1" applyBorder="1"/>
    <xf numFmtId="167" fontId="34" fillId="0" borderId="12" xfId="0" applyNumberFormat="1" applyFont="1" applyBorder="1"/>
    <xf numFmtId="167" fontId="34" fillId="0" borderId="16" xfId="0" applyNumberFormat="1" applyFont="1" applyBorder="1"/>
    <xf numFmtId="167" fontId="34" fillId="0" borderId="17" xfId="0" applyNumberFormat="1" applyFont="1" applyBorder="1"/>
    <xf numFmtId="167" fontId="34" fillId="0" borderId="18" xfId="0" applyNumberFormat="1" applyFont="1" applyBorder="1"/>
    <xf numFmtId="167" fontId="34" fillId="0" borderId="19" xfId="0" applyNumberFormat="1" applyFont="1" applyBorder="1"/>
    <xf numFmtId="167" fontId="34" fillId="0" borderId="20" xfId="0" applyNumberFormat="1" applyFont="1" applyBorder="1"/>
    <xf numFmtId="167" fontId="34" fillId="0" borderId="21" xfId="0" applyNumberFormat="1" applyFont="1" applyBorder="1"/>
    <xf numFmtId="167" fontId="34" fillId="0" borderId="22" xfId="0" applyNumberFormat="1" applyFont="1" applyBorder="1"/>
    <xf numFmtId="167" fontId="34" fillId="0" borderId="23" xfId="0" applyNumberFormat="1" applyFont="1" applyBorder="1"/>
    <xf numFmtId="167" fontId="34" fillId="0" borderId="15" xfId="0" applyNumberFormat="1" applyFont="1" applyBorder="1"/>
    <xf numFmtId="0" fontId="0" fillId="0" borderId="27" xfId="0" applyBorder="1"/>
    <xf numFmtId="0" fontId="0" fillId="0" borderId="28" xfId="0" applyBorder="1"/>
    <xf numFmtId="0" fontId="0" fillId="0" borderId="28" xfId="0" applyBorder="1" applyAlignment="1">
      <alignment horizontal="center"/>
    </xf>
    <xf numFmtId="0" fontId="0" fillId="0" borderId="29" xfId="0" applyBorder="1"/>
    <xf numFmtId="0" fontId="0" fillId="0" borderId="30" xfId="0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31" xfId="0" applyBorder="1"/>
    <xf numFmtId="0" fontId="2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44" fontId="2" fillId="0" borderId="0" xfId="2" applyFont="1" applyBorder="1"/>
    <xf numFmtId="0" fontId="0" fillId="0" borderId="32" xfId="0" applyBorder="1"/>
    <xf numFmtId="0" fontId="0" fillId="0" borderId="33" xfId="0" applyBorder="1"/>
    <xf numFmtId="0" fontId="0" fillId="0" borderId="33" xfId="0" applyBorder="1" applyAlignment="1">
      <alignment horizontal="center"/>
    </xf>
    <xf numFmtId="0" fontId="0" fillId="0" borderId="34" xfId="0" applyBorder="1"/>
    <xf numFmtId="0" fontId="9" fillId="0" borderId="28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44" fontId="2" fillId="0" borderId="20" xfId="2" applyFont="1" applyBorder="1"/>
    <xf numFmtId="44" fontId="2" fillId="0" borderId="32" xfId="2" applyFont="1" applyBorder="1"/>
    <xf numFmtId="0" fontId="7" fillId="0" borderId="33" xfId="0" applyFont="1" applyBorder="1" applyAlignment="1">
      <alignment horizontal="left"/>
    </xf>
    <xf numFmtId="0" fontId="7" fillId="0" borderId="31" xfId="0" applyFont="1" applyBorder="1" applyAlignment="1">
      <alignment vertical="top"/>
    </xf>
    <xf numFmtId="0" fontId="12" fillId="0" borderId="27" xfId="0" applyFont="1" applyBorder="1"/>
    <xf numFmtId="0" fontId="8" fillId="0" borderId="28" xfId="3" applyBorder="1"/>
    <xf numFmtId="0" fontId="12" fillId="0" borderId="30" xfId="0" applyFont="1" applyBorder="1"/>
    <xf numFmtId="0" fontId="8" fillId="0" borderId="0" xfId="3" applyBorder="1"/>
    <xf numFmtId="0" fontId="14" fillId="0" borderId="30" xfId="0" applyFont="1" applyBorder="1"/>
    <xf numFmtId="0" fontId="18" fillId="0" borderId="0" xfId="0" applyFont="1" applyBorder="1"/>
    <xf numFmtId="0" fontId="31" fillId="0" borderId="0" xfId="0" applyFont="1" applyBorder="1" applyAlignment="1"/>
    <xf numFmtId="0" fontId="14" fillId="0" borderId="0" xfId="0" applyFont="1" applyBorder="1"/>
    <xf numFmtId="0" fontId="24" fillId="0" borderId="0" xfId="3" applyFont="1" applyBorder="1"/>
    <xf numFmtId="0" fontId="18" fillId="0" borderId="0" xfId="0" applyFont="1" applyBorder="1" applyAlignment="1">
      <alignment horizontal="left"/>
    </xf>
    <xf numFmtId="0" fontId="7" fillId="0" borderId="0" xfId="0" applyFont="1" applyBorder="1"/>
    <xf numFmtId="0" fontId="2" fillId="2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right"/>
    </xf>
    <xf numFmtId="0" fontId="2" fillId="0" borderId="30" xfId="0" applyFont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44" fontId="2" fillId="2" borderId="0" xfId="2" applyFont="1" applyFill="1" applyBorder="1"/>
    <xf numFmtId="0" fontId="2" fillId="0" borderId="0" xfId="0" applyFont="1" applyBorder="1" applyAlignment="1">
      <alignment horizontal="center" vertical="center" textRotation="90"/>
    </xf>
    <xf numFmtId="167" fontId="34" fillId="0" borderId="35" xfId="0" applyNumberFormat="1" applyFont="1" applyBorder="1"/>
    <xf numFmtId="0" fontId="8" fillId="0" borderId="0" xfId="3" applyAlignment="1">
      <alignment horizontal="left" indent="2"/>
    </xf>
    <xf numFmtId="0" fontId="18" fillId="0" borderId="0" xfId="0" applyFont="1" applyBorder="1" applyAlignment="1">
      <alignment horizontal="right" vertical="top"/>
    </xf>
    <xf numFmtId="1" fontId="0" fillId="0" borderId="20" xfId="0" applyNumberFormat="1" applyBorder="1" applyAlignment="1">
      <alignment horizontal="center"/>
    </xf>
    <xf numFmtId="0" fontId="12" fillId="0" borderId="0" xfId="0" applyFont="1" applyBorder="1"/>
    <xf numFmtId="0" fontId="31" fillId="0" borderId="30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31" fillId="0" borderId="0" xfId="0" applyFont="1" applyBorder="1" applyAlignment="1">
      <alignment horizontal="right"/>
    </xf>
    <xf numFmtId="0" fontId="32" fillId="0" borderId="0" xfId="3" applyFont="1" applyBorder="1"/>
    <xf numFmtId="0" fontId="2" fillId="0" borderId="30" xfId="0" applyFont="1" applyBorder="1"/>
    <xf numFmtId="0" fontId="2" fillId="0" borderId="0" xfId="0" applyFont="1" applyBorder="1" applyAlignment="1">
      <alignment horizontal="left"/>
    </xf>
    <xf numFmtId="0" fontId="13" fillId="0" borderId="0" xfId="0" applyFont="1" applyBorder="1"/>
    <xf numFmtId="0" fontId="23" fillId="0" borderId="0" xfId="0" applyFont="1" applyBorder="1"/>
    <xf numFmtId="0" fontId="21" fillId="0" borderId="0" xfId="0" applyFont="1" applyBorder="1" applyAlignment="1">
      <alignment wrapText="1"/>
    </xf>
    <xf numFmtId="0" fontId="20" fillId="0" borderId="0" xfId="0" applyFont="1" applyBorder="1"/>
    <xf numFmtId="0" fontId="21" fillId="0" borderId="0" xfId="0" applyFont="1" applyBorder="1" applyAlignment="1">
      <alignment horizontal="right"/>
    </xf>
    <xf numFmtId="164" fontId="27" fillId="0" borderId="0" xfId="0" applyNumberFormat="1" applyFont="1" applyBorder="1"/>
    <xf numFmtId="0" fontId="23" fillId="0" borderId="31" xfId="0" applyFont="1" applyBorder="1"/>
    <xf numFmtId="0" fontId="27" fillId="0" borderId="0" xfId="0" applyFont="1" applyBorder="1"/>
    <xf numFmtId="1" fontId="19" fillId="0" borderId="0" xfId="0" applyNumberFormat="1" applyFont="1" applyBorder="1" applyAlignment="1">
      <alignment vertical="top"/>
    </xf>
    <xf numFmtId="0" fontId="19" fillId="0" borderId="0" xfId="0" applyFont="1" applyBorder="1" applyAlignment="1">
      <alignment vertical="top"/>
    </xf>
    <xf numFmtId="0" fontId="26" fillId="0" borderId="0" xfId="0" applyFont="1" applyBorder="1"/>
    <xf numFmtId="0" fontId="27" fillId="0" borderId="0" xfId="0" applyFont="1" applyBorder="1" applyAlignment="1">
      <alignment horizontal="right"/>
    </xf>
    <xf numFmtId="0" fontId="27" fillId="2" borderId="0" xfId="0" applyFont="1" applyFill="1" applyBorder="1"/>
    <xf numFmtId="0" fontId="21" fillId="0" borderId="0" xfId="0" applyFont="1" applyBorder="1" applyAlignment="1">
      <alignment vertical="center" textRotation="90"/>
    </xf>
    <xf numFmtId="0" fontId="18" fillId="0" borderId="33" xfId="0" applyFont="1" applyBorder="1" applyAlignment="1">
      <alignment wrapText="1"/>
    </xf>
    <xf numFmtId="0" fontId="12" fillId="0" borderId="27" xfId="0" applyFont="1" applyBorder="1" applyAlignment="1">
      <alignment horizontal="left" indent="1"/>
    </xf>
    <xf numFmtId="0" fontId="8" fillId="0" borderId="28" xfId="3" applyBorder="1" applyAlignment="1">
      <alignment horizontal="left" vertical="center" indent="1"/>
    </xf>
    <xf numFmtId="0" fontId="0" fillId="0" borderId="0" xfId="0" applyAlignment="1">
      <alignment horizontal="right"/>
    </xf>
    <xf numFmtId="0" fontId="28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center"/>
    </xf>
    <xf numFmtId="0" fontId="18" fillId="0" borderId="33" xfId="0" applyFont="1" applyBorder="1" applyAlignment="1">
      <alignment horizontal="center" wrapText="1"/>
    </xf>
    <xf numFmtId="0" fontId="29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1" fontId="26" fillId="0" borderId="0" xfId="0" applyNumberFormat="1" applyFont="1" applyBorder="1" applyAlignment="1">
      <alignment horizontal="center"/>
    </xf>
    <xf numFmtId="164" fontId="26" fillId="0" borderId="0" xfId="0" applyNumberFormat="1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right" vertical="center"/>
    </xf>
    <xf numFmtId="0" fontId="0" fillId="2" borderId="1" xfId="0" applyFill="1" applyBorder="1" applyAlignment="1">
      <alignment horizontal="left" vertical="center"/>
    </xf>
    <xf numFmtId="1" fontId="0" fillId="0" borderId="1" xfId="0" applyNumberForma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right" vertical="center"/>
    </xf>
    <xf numFmtId="2" fontId="0" fillId="0" borderId="1" xfId="0" applyNumberForma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11" fillId="0" borderId="0" xfId="3" applyFont="1" applyAlignment="1">
      <alignment vertical="center"/>
    </xf>
    <xf numFmtId="0" fontId="11" fillId="0" borderId="0" xfId="3" applyFont="1" applyAlignment="1">
      <alignment horizontal="left" vertical="center"/>
    </xf>
    <xf numFmtId="167" fontId="35" fillId="0" borderId="1" xfId="0" applyNumberFormat="1" applyFont="1" applyBorder="1"/>
    <xf numFmtId="167" fontId="35" fillId="0" borderId="20" xfId="0" applyNumberFormat="1" applyFont="1" applyBorder="1"/>
    <xf numFmtId="167" fontId="35" fillId="0" borderId="14" xfId="0" applyNumberFormat="1" applyFont="1" applyBorder="1"/>
    <xf numFmtId="167" fontId="35" fillId="0" borderId="12" xfId="0" applyNumberFormat="1" applyFont="1" applyBorder="1"/>
    <xf numFmtId="167" fontId="35" fillId="0" borderId="16" xfId="0" applyNumberFormat="1" applyFont="1" applyBorder="1"/>
    <xf numFmtId="167" fontId="35" fillId="0" borderId="17" xfId="0" applyNumberFormat="1" applyFont="1" applyBorder="1"/>
    <xf numFmtId="167" fontId="35" fillId="0" borderId="18" xfId="0" applyNumberFormat="1" applyFont="1" applyBorder="1"/>
    <xf numFmtId="167" fontId="35" fillId="0" borderId="19" xfId="0" applyNumberFormat="1" applyFont="1" applyBorder="1"/>
    <xf numFmtId="167" fontId="35" fillId="0" borderId="21" xfId="0" applyNumberFormat="1" applyFont="1" applyBorder="1"/>
    <xf numFmtId="167" fontId="35" fillId="0" borderId="22" xfId="0" applyNumberFormat="1" applyFont="1" applyBorder="1"/>
    <xf numFmtId="167" fontId="35" fillId="0" borderId="23" xfId="0" applyNumberFormat="1" applyFont="1" applyBorder="1"/>
    <xf numFmtId="167" fontId="35" fillId="0" borderId="15" xfId="0" applyNumberFormat="1" applyFont="1" applyBorder="1"/>
    <xf numFmtId="0" fontId="9" fillId="0" borderId="0" xfId="0" applyFont="1" applyBorder="1" applyAlignment="1">
      <alignment horizontal="center"/>
    </xf>
    <xf numFmtId="1" fontId="0" fillId="4" borderId="14" xfId="0" applyNumberFormat="1" applyFill="1" applyBorder="1" applyAlignment="1">
      <alignment horizontal="center"/>
    </xf>
    <xf numFmtId="1" fontId="0" fillId="4" borderId="39" xfId="0" applyNumberFormat="1" applyFill="1" applyBorder="1" applyAlignment="1">
      <alignment horizontal="center"/>
    </xf>
    <xf numFmtId="1" fontId="0" fillId="4" borderId="40" xfId="0" applyNumberFormat="1" applyFill="1" applyBorder="1" applyAlignment="1">
      <alignment horizontal="center"/>
    </xf>
    <xf numFmtId="9" fontId="0" fillId="4" borderId="1" xfId="4" applyFont="1" applyFill="1" applyBorder="1" applyAlignment="1">
      <alignment horizontal="center"/>
    </xf>
    <xf numFmtId="1" fontId="0" fillId="4" borderId="15" xfId="0" applyNumberFormat="1" applyFill="1" applyBorder="1" applyAlignment="1">
      <alignment horizontal="center"/>
    </xf>
    <xf numFmtId="1" fontId="36" fillId="2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37" fillId="0" borderId="1" xfId="0" applyFont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2" fontId="2" fillId="0" borderId="0" xfId="0" applyNumberFormat="1" applyFont="1" applyAlignment="1">
      <alignment horizontal="center"/>
    </xf>
    <xf numFmtId="0" fontId="7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/>
    </xf>
    <xf numFmtId="0" fontId="0" fillId="0" borderId="1" xfId="0" applyBorder="1"/>
    <xf numFmtId="0" fontId="2" fillId="0" borderId="0" xfId="0" applyFon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8" fillId="0" borderId="0" xfId="3" applyAlignment="1">
      <alignment horizontal="center" wrapText="1"/>
    </xf>
    <xf numFmtId="9" fontId="0" fillId="0" borderId="0" xfId="4" applyFont="1"/>
    <xf numFmtId="1" fontId="0" fillId="0" borderId="0" xfId="0" applyNumberFormat="1"/>
    <xf numFmtId="167" fontId="35" fillId="0" borderId="35" xfId="0" applyNumberFormat="1" applyFont="1" applyBorder="1"/>
    <xf numFmtId="0" fontId="0" fillId="0" borderId="0" xfId="0" applyFill="1" applyBorder="1"/>
    <xf numFmtId="0" fontId="38" fillId="0" borderId="0" xfId="0" applyFont="1" applyAlignment="1">
      <alignment horizontal="right"/>
    </xf>
    <xf numFmtId="0" fontId="7" fillId="0" borderId="1" xfId="0" applyFont="1" applyBorder="1" applyAlignment="1">
      <alignment horizontal="center"/>
    </xf>
    <xf numFmtId="164" fontId="7" fillId="2" borderId="1" xfId="0" applyNumberFormat="1" applyFont="1" applyFill="1" applyBorder="1" applyAlignment="1">
      <alignment horizontal="center"/>
    </xf>
    <xf numFmtId="0" fontId="7" fillId="0" borderId="1" xfId="0" applyFont="1" applyBorder="1"/>
    <xf numFmtId="0" fontId="0" fillId="4" borderId="1" xfId="0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0" fillId="0" borderId="0" xfId="0" applyAlignment="1"/>
    <xf numFmtId="0" fontId="28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right" vertical="center" textRotation="90"/>
    </xf>
    <xf numFmtId="0" fontId="29" fillId="0" borderId="1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8" fillId="0" borderId="33" xfId="0" applyFont="1" applyBorder="1" applyAlignment="1">
      <alignment horizontal="center" wrapText="1"/>
    </xf>
    <xf numFmtId="0" fontId="29" fillId="0" borderId="0" xfId="0" applyFont="1" applyBorder="1" applyAlignment="1">
      <alignment horizontal="right" textRotation="90"/>
    </xf>
    <xf numFmtId="0" fontId="18" fillId="0" borderId="11" xfId="0" applyFont="1" applyBorder="1" applyAlignment="1">
      <alignment horizontal="center"/>
    </xf>
    <xf numFmtId="0" fontId="21" fillId="0" borderId="0" xfId="0" applyFont="1" applyAlignment="1">
      <alignment horizontal="right" vertical="center" textRotation="90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wrapText="1"/>
    </xf>
    <xf numFmtId="0" fontId="31" fillId="0" borderId="0" xfId="0" applyFont="1" applyAlignment="1">
      <alignment horizontal="center"/>
    </xf>
    <xf numFmtId="168" fontId="0" fillId="0" borderId="1" xfId="0" applyNumberForma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38" xfId="0" applyFont="1" applyBorder="1" applyAlignment="1">
      <alignment horizontal="center"/>
    </xf>
    <xf numFmtId="0" fontId="2" fillId="0" borderId="30" xfId="0" applyFont="1" applyBorder="1" applyAlignment="1">
      <alignment horizontal="right" vertical="center" textRotation="90"/>
    </xf>
    <xf numFmtId="0" fontId="2" fillId="0" borderId="31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2" fillId="0" borderId="8" xfId="0" applyFont="1" applyBorder="1" applyAlignment="1">
      <alignment horizontal="right" vertical="center" wrapText="1"/>
    </xf>
    <xf numFmtId="0" fontId="2" fillId="0" borderId="9" xfId="0" applyFont="1" applyBorder="1" applyAlignment="1">
      <alignment horizontal="right" vertical="center" wrapText="1"/>
    </xf>
    <xf numFmtId="0" fontId="7" fillId="0" borderId="0" xfId="0" applyFont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8" fillId="0" borderId="0" xfId="3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8" fillId="0" borderId="0" xfId="3" applyAlignment="1">
      <alignment horizontal="left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2" borderId="1" xfId="0" applyFill="1" applyBorder="1" applyAlignment="1">
      <alignment horizontal="left"/>
    </xf>
    <xf numFmtId="1" fontId="0" fillId="2" borderId="1" xfId="0" applyNumberFormat="1" applyFill="1" applyBorder="1" applyAlignment="1">
      <alignment horizontal="left"/>
    </xf>
    <xf numFmtId="9" fontId="2" fillId="2" borderId="1" xfId="0" applyNumberFormat="1" applyFont="1" applyFill="1" applyBorder="1" applyAlignment="1">
      <alignment horizontal="left"/>
    </xf>
    <xf numFmtId="0" fontId="7" fillId="0" borderId="0" xfId="0" applyFont="1" applyFill="1" applyBorder="1"/>
    <xf numFmtId="1" fontId="0" fillId="4" borderId="0" xfId="0" applyNumberFormat="1" applyFill="1" applyBorder="1" applyAlignment="1">
      <alignment horizontal="left"/>
    </xf>
    <xf numFmtId="0" fontId="38" fillId="0" borderId="0" xfId="0" applyFont="1" applyAlignment="1">
      <alignment horizontal="left"/>
    </xf>
    <xf numFmtId="9" fontId="0" fillId="4" borderId="0" xfId="0" applyNumberFormat="1" applyFill="1" applyAlignment="1">
      <alignment horizontal="left"/>
    </xf>
    <xf numFmtId="0" fontId="9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0" fontId="9" fillId="0" borderId="0" xfId="0" applyFont="1" applyAlignment="1">
      <alignment horizontal="right"/>
    </xf>
    <xf numFmtId="9" fontId="9" fillId="0" borderId="1" xfId="4" applyFont="1" applyBorder="1" applyAlignment="1">
      <alignment horizontal="center"/>
    </xf>
    <xf numFmtId="9" fontId="0" fillId="2" borderId="1" xfId="0" applyNumberFormat="1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</cellXfs>
  <cellStyles count="5">
    <cellStyle name="Comma" xfId="1" builtinId="3"/>
    <cellStyle name="Currency" xfId="2" builtinId="4"/>
    <cellStyle name="Hyperlink" xfId="3" builtinId="8"/>
    <cellStyle name="Normal" xfId="0" builtinId="0"/>
    <cellStyle name="Percent" xfId="4" builtinId="5"/>
  </cellStyles>
  <dxfs count="0"/>
  <tableStyles count="0" defaultTableStyle="TableStyleMedium2" defaultPivotStyle="PivotStyleMedium9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openxmlformats.org/officeDocument/2006/relationships/image" Target="../media/image11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129887</xdr:colOff>
      <xdr:row>9</xdr:row>
      <xdr:rowOff>0</xdr:rowOff>
    </xdr:from>
    <xdr:to>
      <xdr:col>31</xdr:col>
      <xdr:colOff>578732</xdr:colOff>
      <xdr:row>25</xdr:row>
      <xdr:rowOff>188769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15205" y="2006312"/>
          <a:ext cx="3730641" cy="3028950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85724</xdr:colOff>
      <xdr:row>8</xdr:row>
      <xdr:rowOff>174047</xdr:rowOff>
    </xdr:from>
    <xdr:to>
      <xdr:col>24</xdr:col>
      <xdr:colOff>28634</xdr:colOff>
      <xdr:row>25</xdr:row>
      <xdr:rowOff>143296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26406" y="1680729"/>
          <a:ext cx="3190069" cy="29999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18</xdr:row>
      <xdr:rowOff>47625</xdr:rowOff>
    </xdr:from>
    <xdr:to>
      <xdr:col>0</xdr:col>
      <xdr:colOff>790477</xdr:colOff>
      <xdr:row>23</xdr:row>
      <xdr:rowOff>18935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3286125"/>
          <a:ext cx="780952" cy="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1000125</xdr:colOff>
      <xdr:row>15</xdr:row>
      <xdr:rowOff>95250</xdr:rowOff>
    </xdr:from>
    <xdr:to>
      <xdr:col>1</xdr:col>
      <xdr:colOff>359470</xdr:colOff>
      <xdr:row>20</xdr:row>
      <xdr:rowOff>123702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0125" y="2962275"/>
          <a:ext cx="778570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</xdr:row>
      <xdr:rowOff>76200</xdr:rowOff>
    </xdr:from>
    <xdr:to>
      <xdr:col>0</xdr:col>
      <xdr:colOff>1382032</xdr:colOff>
      <xdr:row>13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6700" y="266700"/>
          <a:ext cx="1115332" cy="23622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</xdr:row>
      <xdr:rowOff>0</xdr:rowOff>
    </xdr:from>
    <xdr:to>
      <xdr:col>12</xdr:col>
      <xdr:colOff>112857</xdr:colOff>
      <xdr:row>24</xdr:row>
      <xdr:rowOff>142875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95450" y="390525"/>
          <a:ext cx="4037157" cy="433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142875</xdr:rowOff>
    </xdr:from>
    <xdr:to>
      <xdr:col>0</xdr:col>
      <xdr:colOff>809524</xdr:colOff>
      <xdr:row>17</xdr:row>
      <xdr:rowOff>180875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428875"/>
          <a:ext cx="809524" cy="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19053</xdr:colOff>
      <xdr:row>24</xdr:row>
      <xdr:rowOff>140494</xdr:rowOff>
    </xdr:from>
    <xdr:to>
      <xdr:col>7</xdr:col>
      <xdr:colOff>157787</xdr:colOff>
      <xdr:row>32</xdr:row>
      <xdr:rowOff>92869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3" y="4722019"/>
          <a:ext cx="4625009" cy="1476375"/>
        </a:xfrm>
        <a:prstGeom prst="rect">
          <a:avLst/>
        </a:prstGeom>
      </xdr:spPr>
    </xdr:pic>
    <xdr:clientData/>
  </xdr:twoCellAnchor>
  <xdr:twoCellAnchor editAs="oneCell">
    <xdr:from>
      <xdr:col>13</xdr:col>
      <xdr:colOff>97624</xdr:colOff>
      <xdr:row>33</xdr:row>
      <xdr:rowOff>95250</xdr:rowOff>
    </xdr:from>
    <xdr:to>
      <xdr:col>15</xdr:col>
      <xdr:colOff>2316886</xdr:colOff>
      <xdr:row>49</xdr:row>
      <xdr:rowOff>30560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93699" y="6391275"/>
          <a:ext cx="2847912" cy="2983310"/>
        </a:xfrm>
        <a:prstGeom prst="rect">
          <a:avLst/>
        </a:prstGeom>
      </xdr:spPr>
    </xdr:pic>
    <xdr:clientData/>
  </xdr:twoCellAnchor>
  <xdr:twoCellAnchor editAs="oneCell">
    <xdr:from>
      <xdr:col>7</xdr:col>
      <xdr:colOff>130969</xdr:colOff>
      <xdr:row>24</xdr:row>
      <xdr:rowOff>169070</xdr:rowOff>
    </xdr:from>
    <xdr:to>
      <xdr:col>15</xdr:col>
      <xdr:colOff>152401</xdr:colOff>
      <xdr:row>32</xdr:row>
      <xdr:rowOff>45011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55244" y="4750595"/>
          <a:ext cx="2859882" cy="1399941"/>
        </a:xfrm>
        <a:prstGeom prst="rect">
          <a:avLst/>
        </a:prstGeom>
      </xdr:spPr>
    </xdr:pic>
    <xdr:clientData/>
  </xdr:twoCellAnchor>
  <xdr:twoCellAnchor editAs="oneCell">
    <xdr:from>
      <xdr:col>15</xdr:col>
      <xdr:colOff>648354</xdr:colOff>
      <xdr:row>0</xdr:row>
      <xdr:rowOff>171450</xdr:rowOff>
    </xdr:from>
    <xdr:to>
      <xdr:col>22</xdr:col>
      <xdr:colOff>361949</xdr:colOff>
      <xdr:row>29</xdr:row>
      <xdr:rowOff>28575</xdr:rowOff>
    </xdr:to>
    <xdr:pic>
      <xdr:nvPicPr>
        <xdr:cNvPr id="12" name="Picture 11" descr="http://0.tqn.com/w/experts/Electrical-Wiring-Home-1734/2008/06/NEMA-Plug-Chart.gif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3079" y="171450"/>
          <a:ext cx="5104745" cy="539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18</xdr:row>
      <xdr:rowOff>66675</xdr:rowOff>
    </xdr:from>
    <xdr:to>
      <xdr:col>6</xdr:col>
      <xdr:colOff>142238</xdr:colOff>
      <xdr:row>35</xdr:row>
      <xdr:rowOff>142461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0" y="4067175"/>
          <a:ext cx="5095238" cy="3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76200</xdr:rowOff>
    </xdr:from>
    <xdr:to>
      <xdr:col>0</xdr:col>
      <xdr:colOff>4342857</xdr:colOff>
      <xdr:row>32</xdr:row>
      <xdr:rowOff>28414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24400" y="5410200"/>
          <a:ext cx="4342857" cy="1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0</xdr:col>
      <xdr:colOff>6361905</xdr:colOff>
      <xdr:row>39</xdr:row>
      <xdr:rowOff>160911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72550" y="47625"/>
          <a:ext cx="6361905" cy="81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346364</xdr:colOff>
      <xdr:row>6</xdr:row>
      <xdr:rowOff>138545</xdr:rowOff>
    </xdr:from>
    <xdr:to>
      <xdr:col>29</xdr:col>
      <xdr:colOff>496635</xdr:colOff>
      <xdr:row>31</xdr:row>
      <xdr:rowOff>135369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16296" y="1246909"/>
          <a:ext cx="3180953" cy="4638096"/>
        </a:xfrm>
        <a:prstGeom prst="rect">
          <a:avLst/>
        </a:prstGeom>
      </xdr:spPr>
    </xdr:pic>
    <xdr:clientData/>
  </xdr:twoCellAnchor>
  <xdr:twoCellAnchor editAs="oneCell">
    <xdr:from>
      <xdr:col>24</xdr:col>
      <xdr:colOff>355023</xdr:colOff>
      <xdr:row>34</xdr:row>
      <xdr:rowOff>32758</xdr:rowOff>
    </xdr:from>
    <xdr:to>
      <xdr:col>30</xdr:col>
      <xdr:colOff>324223</xdr:colOff>
      <xdr:row>36</xdr:row>
      <xdr:rowOff>164450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24955" y="5964235"/>
          <a:ext cx="3606018" cy="521352"/>
        </a:xfrm>
        <a:prstGeom prst="rect">
          <a:avLst/>
        </a:prstGeom>
      </xdr:spPr>
    </xdr:pic>
    <xdr:clientData/>
  </xdr:twoCellAnchor>
  <xdr:twoCellAnchor editAs="oneCell">
    <xdr:from>
      <xdr:col>30</xdr:col>
      <xdr:colOff>129888</xdr:colOff>
      <xdr:row>10</xdr:row>
      <xdr:rowOff>17318</xdr:rowOff>
    </xdr:from>
    <xdr:to>
      <xdr:col>37</xdr:col>
      <xdr:colOff>142359</xdr:colOff>
      <xdr:row>24</xdr:row>
      <xdr:rowOff>86590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053956" y="1792432"/>
          <a:ext cx="4255426" cy="27016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342900</xdr:colOff>
      <xdr:row>0</xdr:row>
      <xdr:rowOff>168398</xdr:rowOff>
    </xdr:from>
    <xdr:to>
      <xdr:col>24</xdr:col>
      <xdr:colOff>179898</xdr:colOff>
      <xdr:row>18</xdr:row>
      <xdr:rowOff>151829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0" y="168398"/>
          <a:ext cx="7152198" cy="37934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485775</xdr:colOff>
      <xdr:row>2</xdr:row>
      <xdr:rowOff>152400</xdr:rowOff>
    </xdr:from>
    <xdr:ext cx="5535529" cy="583786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0700" y="533400"/>
          <a:ext cx="5535529" cy="583786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56</xdr:row>
      <xdr:rowOff>0</xdr:rowOff>
    </xdr:from>
    <xdr:ext cx="8200001" cy="1133333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72225" y="6553200"/>
          <a:ext cx="8200001" cy="113333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evtripplanner.com/" TargetMode="External"/><Relationship Id="rId1" Type="http://schemas.openxmlformats.org/officeDocument/2006/relationships/hyperlink" Target="http://www.teslamotors.com/forum/forums/charging-efficiency-0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rs.gov/pub/irs-pdf/f8936.pdf" TargetMode="External"/><Relationship Id="rId13" Type="http://schemas.openxmlformats.org/officeDocument/2006/relationships/hyperlink" Target="http://www.socalev.org/map.cfm" TargetMode="External"/><Relationship Id="rId18" Type="http://schemas.openxmlformats.org/officeDocument/2006/relationships/hyperlink" Target="http://www.afdc.energy.gov/locator/stations/results?location=&amp;fuel=ELEC&amp;private=&amp;planned=&amp;owner=all&amp;payment=all&amp;radius=&amp;radius_miles=" TargetMode="External"/><Relationship Id="rId3" Type="http://schemas.openxmlformats.org/officeDocument/2006/relationships/hyperlink" Target="http://www.irs.gov/businesses/article/0,,id=214841,00.html" TargetMode="External"/><Relationship Id="rId21" Type="http://schemas.openxmlformats.org/officeDocument/2006/relationships/hyperlink" Target="http://www.socalev.org/map.cfm" TargetMode="External"/><Relationship Id="rId7" Type="http://schemas.openxmlformats.org/officeDocument/2006/relationships/hyperlink" Target="http://www.driveclean.ca.gov/incentive_detail.php?incentive_id=42&amp;type=" TargetMode="External"/><Relationship Id="rId12" Type="http://schemas.openxmlformats.org/officeDocument/2006/relationships/hyperlink" Target="http://www.socalev.org/plugin/charging.htm" TargetMode="External"/><Relationship Id="rId17" Type="http://schemas.openxmlformats.org/officeDocument/2006/relationships/hyperlink" Target="http://www.sce.com/info/electric-car/residential/rate-plans.htm" TargetMode="External"/><Relationship Id="rId25" Type="http://schemas.openxmlformats.org/officeDocument/2006/relationships/drawing" Target="../drawings/drawing7.xml"/><Relationship Id="rId2" Type="http://schemas.openxmlformats.org/officeDocument/2006/relationships/hyperlink" Target="http://www.afdc.energy.gov/laws/law/US/409" TargetMode="External"/><Relationship Id="rId16" Type="http://schemas.openxmlformats.org/officeDocument/2006/relationships/hyperlink" Target="http://asset.sce.com/Documents/Shared/ce84-12.pdf" TargetMode="External"/><Relationship Id="rId20" Type="http://schemas.openxmlformats.org/officeDocument/2006/relationships/hyperlink" Target="http://www.socalev.org/plugin/charging.htm" TargetMode="External"/><Relationship Id="rId1" Type="http://schemas.openxmlformats.org/officeDocument/2006/relationships/hyperlink" Target="http://www.sce.com/info/electric-car/residential/residential.htm?ecid=pev003sem0002" TargetMode="External"/><Relationship Id="rId6" Type="http://schemas.openxmlformats.org/officeDocument/2006/relationships/hyperlink" Target="http://www.lawa.org/parking/" TargetMode="External"/><Relationship Id="rId11" Type="http://schemas.openxmlformats.org/officeDocument/2006/relationships/hyperlink" Target="http://www.afdc.energy.gov/locator/stations/results?location=&amp;fuel=ELEC&amp;private=&amp;planned=&amp;owner=all&amp;payment=all&amp;radius=&amp;radius_miles=" TargetMode="External"/><Relationship Id="rId24" Type="http://schemas.openxmlformats.org/officeDocument/2006/relationships/hyperlink" Target="http://www.teslamotorsclub.com/showthread.php/13220-Putting-some-numbers-on-the-factors-that-affect-range" TargetMode="External"/><Relationship Id="rId5" Type="http://schemas.openxmlformats.org/officeDocument/2006/relationships/hyperlink" Target="http://www.arb.ca.gov/msprog/carpool/carpool.htm" TargetMode="External"/><Relationship Id="rId15" Type="http://schemas.openxmlformats.org/officeDocument/2006/relationships/hyperlink" Target="http://www.sce.com/NR/sc3/tm2/pdf/CE324.pdf" TargetMode="External"/><Relationship Id="rId23" Type="http://schemas.openxmlformats.org/officeDocument/2006/relationships/hyperlink" Target="http://www.sce.com/NR/sc3/tm2/pdf/ce114-12.pdf" TargetMode="External"/><Relationship Id="rId10" Type="http://schemas.openxmlformats.org/officeDocument/2006/relationships/hyperlink" Target="http://www.afdc.energy.gov/locator/stations/results?location=&amp;fuel=ELEC&amp;private=&amp;planned=&amp;owner=all&amp;payment=all&amp;radius=&amp;radius_miles=" TargetMode="External"/><Relationship Id="rId19" Type="http://schemas.openxmlformats.org/officeDocument/2006/relationships/hyperlink" Target="http://www.afdc.energy.gov/locator/stations/results?location=&amp;fuel=ELEC&amp;private=&amp;planned=&amp;owner=all&amp;payment=all&amp;radius=&amp;radius_miles=" TargetMode="External"/><Relationship Id="rId4" Type="http://schemas.openxmlformats.org/officeDocument/2006/relationships/hyperlink" Target="http://energycenter.org/index.php/incentive-programs/clean-vehicle-rebate-project" TargetMode="External"/><Relationship Id="rId9" Type="http://schemas.openxmlformats.org/officeDocument/2006/relationships/hyperlink" Target="http://www.panasonic.com/industrial/includes/pdf/ACA4000CE254-NCR18650A.pdf" TargetMode="External"/><Relationship Id="rId14" Type="http://schemas.openxmlformats.org/officeDocument/2006/relationships/hyperlink" Target="http://www.driveclean.ca.gov/pev/Charging.php" TargetMode="External"/><Relationship Id="rId22" Type="http://schemas.openxmlformats.org/officeDocument/2006/relationships/hyperlink" Target="http://www.driveclean.ca.gov/pev/Charging.php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shop.teslamotors.com/collections/model-s-charging-adapters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afdc.energy.gov/" TargetMode="External"/><Relationship Id="rId7" Type="http://schemas.openxmlformats.org/officeDocument/2006/relationships/hyperlink" Target="http://www.teslamotors.com/charging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carstations.com" TargetMode="External"/><Relationship Id="rId1" Type="http://schemas.openxmlformats.org/officeDocument/2006/relationships/hyperlink" Target="plugshare.com" TargetMode="External"/><Relationship Id="rId6" Type="http://schemas.openxmlformats.org/officeDocument/2006/relationships/hyperlink" Target="blinknetwork.com" TargetMode="External"/><Relationship Id="rId11" Type="http://schemas.openxmlformats.org/officeDocument/2006/relationships/hyperlink" Target="http://www.mpoweruk.com/soc.htm" TargetMode="External"/><Relationship Id="rId5" Type="http://schemas.openxmlformats.org/officeDocument/2006/relationships/hyperlink" Target="chargepoint.com" TargetMode="External"/><Relationship Id="rId10" Type="http://schemas.openxmlformats.org/officeDocument/2006/relationships/hyperlink" Target="http://cosmacelf.net/Home%20Made%20Adapters.pdf" TargetMode="External"/><Relationship Id="rId4" Type="http://schemas.openxmlformats.org/officeDocument/2006/relationships/hyperlink" Target="recargo.com" TargetMode="External"/><Relationship Id="rId9" Type="http://schemas.openxmlformats.org/officeDocument/2006/relationships/hyperlink" Target="http://www.evseadapters.com/adapters-for-tesla-model-s.php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evtripplanner.com/planner/carview_beta" TargetMode="External"/><Relationship Id="rId2" Type="http://schemas.openxmlformats.org/officeDocument/2006/relationships/hyperlink" Target="http://evtripplanner.com/planner/carview_beta/?id=lhl" TargetMode="External"/><Relationship Id="rId1" Type="http://schemas.openxmlformats.org/officeDocument/2006/relationships/hyperlink" Target="http://en.wikipedia.org/wiki/Tesla_Model_S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ce.com/wps/portal/home/regulatory/tariff-books/rates-pricing-choices/residential-rates/!ut/p/b1/tZHLbsIwEEW_hQVLy4MTEmcZUAuhPISo1CQbZBzHmAY7JG7V_n0dxKJSSxGLeuV5-I7PHZzjFOeavSvJrDKaVV2cB9sBncTTZAMJna89SEajZBU8-h48EfyCc5xzbWu7x1nLxZYbbYW2W6H7cL" TargetMode="External"/><Relationship Id="rId2" Type="http://schemas.openxmlformats.org/officeDocument/2006/relationships/hyperlink" Target="http://evtripplanner.com/" TargetMode="External"/><Relationship Id="rId1" Type="http://schemas.openxmlformats.org/officeDocument/2006/relationships/hyperlink" Target="http://www.teslamotors.com/forum/forums/charging-efficiency-0" TargetMode="Externa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www.sce.com/wps/portal/home/regulatory/tariff-books/rates-pricing-choices/residential-rates/!ut/p/b1/tZHLbsIwEEW_hQVLy4MTEmcZUAuhPISo1CQbZBzHmAY7JG7V_n0dxKJSSxGLeuV5-I7PHZzjFOeavSvJrDKaVV2cB9sBncTTZAMJna89SEajZBU8-h48EfyCc5xzbWu7x1nLxZYbbYW2W6H7c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www.teslamotors.com/models/specs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eslamotors.com/blog/bit-about-batteries" TargetMode="External"/><Relationship Id="rId2" Type="http://schemas.openxmlformats.org/officeDocument/2006/relationships/hyperlink" Target="http://www.teslatap.com/" TargetMode="External"/><Relationship Id="rId1" Type="http://schemas.openxmlformats.org/officeDocument/2006/relationships/hyperlink" Target="http://www.panasonic.com/industrial/includes/pdf/ACA4000CE254-NCR18650A.pdf" TargetMode="External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://files.shareholder.com/downloads/ABEA-4CW8X0/1748600199x6426338xS1193125-13-96241/1318605/1193125-13-9624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36"/>
  <sheetViews>
    <sheetView showGridLines="0" zoomScale="110" zoomScaleNormal="110" workbookViewId="0">
      <selection activeCell="I3" sqref="I3"/>
    </sheetView>
  </sheetViews>
  <sheetFormatPr defaultRowHeight="15" x14ac:dyDescent="0.25"/>
  <cols>
    <col min="1" max="1" width="16.85546875" style="4" customWidth="1"/>
    <col min="2" max="2" width="3" style="4" customWidth="1"/>
    <col min="3" max="3" width="4.140625" style="4" customWidth="1"/>
    <col min="4" max="4" width="7.28515625" style="4" customWidth="1"/>
    <col min="5" max="5" width="5.42578125" style="4" customWidth="1"/>
    <col min="6" max="6" width="6.28515625" style="4" customWidth="1"/>
    <col min="7" max="7" width="7" style="4" customWidth="1"/>
    <col min="8" max="8" width="7.7109375" style="4" customWidth="1"/>
    <col min="9" max="9" width="6.5703125" style="4" customWidth="1"/>
    <col min="10" max="10" width="6.7109375" style="4" customWidth="1"/>
    <col min="11" max="12" width="6.5703125" style="4" customWidth="1"/>
    <col min="13" max="13" width="5.42578125" style="4" customWidth="1"/>
    <col min="14" max="14" width="5" style="4" customWidth="1"/>
    <col min="15" max="16" width="7.5703125" style="4" bestFit="1" customWidth="1"/>
    <col min="17" max="17" width="6.140625" style="4" bestFit="1" customWidth="1"/>
    <col min="18" max="18" width="3.140625" style="4" customWidth="1"/>
    <col min="19" max="19" width="3" style="4" bestFit="1" customWidth="1"/>
    <col min="20" max="26" width="4.28515625" style="4" customWidth="1"/>
    <col min="27" max="27" width="4.28515625" style="32" customWidth="1"/>
    <col min="28" max="16384" width="9.140625" style="4"/>
  </cols>
  <sheetData>
    <row r="1" spans="1:30" ht="18.75" x14ac:dyDescent="0.3">
      <c r="A1" s="233" t="s">
        <v>230</v>
      </c>
      <c r="B1" s="168"/>
      <c r="C1" s="168"/>
      <c r="D1" s="168"/>
      <c r="E1" s="168"/>
      <c r="F1" s="168"/>
      <c r="G1" s="168"/>
      <c r="H1" s="168"/>
      <c r="I1" s="234" t="s">
        <v>173</v>
      </c>
      <c r="J1" s="168"/>
      <c r="K1" s="168"/>
      <c r="L1" s="168"/>
      <c r="M1" s="170"/>
    </row>
    <row r="2" spans="1:30" ht="7.5" customHeight="1" x14ac:dyDescent="0.3">
      <c r="A2" s="171"/>
      <c r="B2" s="211"/>
      <c r="C2" s="172"/>
      <c r="D2" s="172"/>
      <c r="E2" s="172"/>
      <c r="F2" s="172"/>
      <c r="G2" s="172"/>
      <c r="H2" s="172"/>
      <c r="I2" s="172"/>
      <c r="J2" s="172"/>
      <c r="K2" s="193"/>
      <c r="L2" s="193"/>
      <c r="M2" s="174"/>
      <c r="AA2" s="103"/>
    </row>
    <row r="3" spans="1:30" x14ac:dyDescent="0.25">
      <c r="A3" s="194"/>
      <c r="B3" s="197"/>
      <c r="C3" s="175" t="s">
        <v>190</v>
      </c>
      <c r="D3" s="195" t="s">
        <v>194</v>
      </c>
      <c r="E3" s="172"/>
      <c r="F3" s="197"/>
      <c r="G3" s="197"/>
      <c r="H3" s="197"/>
      <c r="I3" s="197"/>
      <c r="J3" s="197"/>
      <c r="K3" s="172"/>
      <c r="L3" s="172"/>
      <c r="M3" s="174"/>
      <c r="N3"/>
      <c r="O3" s="3" t="s">
        <v>72</v>
      </c>
      <c r="P3"/>
      <c r="Q3"/>
      <c r="R3"/>
      <c r="S3"/>
      <c r="AA3" s="103"/>
    </row>
    <row r="4" spans="1:30" s="50" customFormat="1" ht="15" customHeight="1" x14ac:dyDescent="0.25">
      <c r="A4" s="212"/>
      <c r="B4" s="197"/>
      <c r="C4" s="110" t="s">
        <v>174</v>
      </c>
      <c r="D4" s="111">
        <v>20</v>
      </c>
      <c r="E4" s="195" t="s">
        <v>246</v>
      </c>
      <c r="F4" s="213"/>
      <c r="G4" s="213"/>
      <c r="H4" s="213"/>
      <c r="I4" s="213"/>
      <c r="J4" s="213"/>
      <c r="K4" s="176"/>
      <c r="L4" s="237"/>
      <c r="M4" s="184"/>
      <c r="O4" s="3" t="s">
        <v>262</v>
      </c>
      <c r="P4"/>
      <c r="Q4"/>
      <c r="R4"/>
      <c r="S4"/>
      <c r="T4" s="102"/>
      <c r="U4" s="102"/>
      <c r="V4" s="102"/>
      <c r="W4" s="102"/>
      <c r="X4" s="102"/>
      <c r="Y4" s="102"/>
      <c r="Z4" s="102"/>
      <c r="AA4" s="102"/>
      <c r="AB4" s="102"/>
      <c r="AC4" s="4"/>
      <c r="AD4" s="4"/>
    </row>
    <row r="5" spans="1:30" ht="15" customHeight="1" x14ac:dyDescent="0.25">
      <c r="A5" s="194"/>
      <c r="B5" s="197"/>
      <c r="C5" s="214" t="s">
        <v>175</v>
      </c>
      <c r="D5" s="111">
        <v>82.5</v>
      </c>
      <c r="E5" s="195" t="s">
        <v>191</v>
      </c>
      <c r="F5" s="197"/>
      <c r="G5" s="197"/>
      <c r="H5" s="197"/>
      <c r="I5" s="197"/>
      <c r="J5" s="197"/>
      <c r="K5" s="172"/>
      <c r="L5" s="172"/>
      <c r="M5" s="174"/>
      <c r="O5" s="3" t="s">
        <v>263</v>
      </c>
      <c r="P5"/>
      <c r="Q5"/>
      <c r="R5"/>
      <c r="S5"/>
    </row>
    <row r="6" spans="1:30" ht="15" customHeight="1" x14ac:dyDescent="0.25">
      <c r="A6" s="194"/>
      <c r="B6" s="197"/>
      <c r="C6" s="110" t="s">
        <v>192</v>
      </c>
      <c r="D6" s="111">
        <v>308</v>
      </c>
      <c r="E6" s="195" t="s">
        <v>202</v>
      </c>
      <c r="F6" s="197"/>
      <c r="G6" s="172"/>
      <c r="H6" s="172"/>
      <c r="I6" s="172"/>
      <c r="J6" s="172"/>
      <c r="K6" s="172"/>
      <c r="L6" s="172"/>
      <c r="M6" s="174"/>
      <c r="O6"/>
      <c r="P6"/>
      <c r="Q6"/>
      <c r="R6"/>
      <c r="S6"/>
      <c r="AA6" s="103"/>
    </row>
    <row r="7" spans="1:30" x14ac:dyDescent="0.25">
      <c r="A7" s="194"/>
      <c r="B7" s="197"/>
      <c r="C7" s="110" t="s">
        <v>193</v>
      </c>
      <c r="D7" s="112">
        <v>345</v>
      </c>
      <c r="E7" s="172"/>
      <c r="F7" s="197"/>
      <c r="G7" s="172"/>
      <c r="H7" s="172"/>
      <c r="I7" s="172"/>
      <c r="J7" s="172"/>
      <c r="K7" s="172"/>
      <c r="L7" s="172"/>
      <c r="M7" s="174"/>
      <c r="O7"/>
      <c r="P7"/>
      <c r="Q7"/>
      <c r="R7"/>
      <c r="S7"/>
    </row>
    <row r="8" spans="1:30" x14ac:dyDescent="0.25">
      <c r="A8" s="194"/>
      <c r="B8" s="197"/>
      <c r="C8" s="110" t="s">
        <v>77</v>
      </c>
      <c r="D8" s="113">
        <v>0.85</v>
      </c>
      <c r="E8" s="215" t="s">
        <v>170</v>
      </c>
      <c r="F8" s="197"/>
      <c r="G8" s="172"/>
      <c r="H8" s="172"/>
      <c r="I8" s="172"/>
      <c r="J8" s="172"/>
      <c r="K8" s="172"/>
      <c r="L8" s="172"/>
      <c r="M8" s="174"/>
    </row>
    <row r="9" spans="1:30" x14ac:dyDescent="0.25">
      <c r="A9" s="194"/>
      <c r="B9" s="197"/>
      <c r="C9" s="172"/>
      <c r="D9" s="172"/>
      <c r="E9" s="197"/>
      <c r="F9" s="197"/>
      <c r="G9" s="172"/>
      <c r="H9" s="172"/>
      <c r="I9" s="172"/>
      <c r="J9" s="172"/>
      <c r="K9" s="172"/>
      <c r="L9" s="172"/>
      <c r="M9" s="174"/>
      <c r="O9" s="36" t="s">
        <v>76</v>
      </c>
    </row>
    <row r="10" spans="1:30" ht="6.75" customHeight="1" x14ac:dyDescent="0.25">
      <c r="A10" s="171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4"/>
    </row>
    <row r="11" spans="1:30" x14ac:dyDescent="0.25">
      <c r="A11" s="216"/>
      <c r="B11" s="172"/>
      <c r="C11" s="34" t="s">
        <v>182</v>
      </c>
      <c r="D11" s="305" t="s">
        <v>74</v>
      </c>
      <c r="E11" s="305"/>
      <c r="F11" s="305"/>
      <c r="G11" s="305"/>
      <c r="H11" s="305"/>
      <c r="I11" s="172"/>
      <c r="J11" s="172"/>
      <c r="K11" s="172"/>
      <c r="L11" s="172"/>
      <c r="M11" s="174"/>
    </row>
    <row r="12" spans="1:30" x14ac:dyDescent="0.25">
      <c r="A12" s="171"/>
      <c r="B12" s="172"/>
      <c r="C12" s="34" t="s">
        <v>176</v>
      </c>
      <c r="D12" s="104">
        <v>120</v>
      </c>
      <c r="E12" s="104">
        <v>240</v>
      </c>
      <c r="F12" s="104">
        <v>240</v>
      </c>
      <c r="G12" s="104">
        <v>240</v>
      </c>
      <c r="H12" s="104" t="s">
        <v>177</v>
      </c>
      <c r="I12" s="172"/>
      <c r="J12" s="172"/>
      <c r="K12" s="172"/>
      <c r="L12" s="172"/>
      <c r="M12" s="174"/>
      <c r="AA12" s="4"/>
    </row>
    <row r="13" spans="1:30" x14ac:dyDescent="0.25">
      <c r="A13" s="171"/>
      <c r="B13" s="172"/>
      <c r="C13" s="34" t="s">
        <v>188</v>
      </c>
      <c r="D13" s="104">
        <v>15</v>
      </c>
      <c r="E13" s="104">
        <v>40</v>
      </c>
      <c r="F13" s="104">
        <v>50</v>
      </c>
      <c r="G13" s="104">
        <v>100</v>
      </c>
      <c r="H13" s="104" t="s">
        <v>178</v>
      </c>
      <c r="I13" s="172"/>
      <c r="J13" s="172"/>
      <c r="K13" s="172"/>
      <c r="L13" s="172"/>
      <c r="M13" s="174"/>
      <c r="AA13" s="4"/>
    </row>
    <row r="14" spans="1:30" x14ac:dyDescent="0.25">
      <c r="A14" s="171"/>
      <c r="B14" s="217"/>
      <c r="C14" s="34" t="s">
        <v>147</v>
      </c>
      <c r="D14" s="107">
        <f>D12*D13*0.8/1000</f>
        <v>1.44</v>
      </c>
      <c r="E14" s="107">
        <f t="shared" ref="E14:G14" si="0">E12*E13*0.8/1000</f>
        <v>7.68</v>
      </c>
      <c r="F14" s="107">
        <f t="shared" si="0"/>
        <v>9.6</v>
      </c>
      <c r="G14" s="109">
        <f t="shared" si="0"/>
        <v>19.2</v>
      </c>
      <c r="H14" s="108">
        <v>90</v>
      </c>
      <c r="I14" s="218" t="s">
        <v>179</v>
      </c>
      <c r="J14" s="172"/>
      <c r="K14" s="219"/>
      <c r="L14" s="219"/>
      <c r="M14" s="174"/>
      <c r="N14"/>
      <c r="O14"/>
      <c r="P14"/>
    </row>
    <row r="15" spans="1:30" x14ac:dyDescent="0.25">
      <c r="A15" s="171"/>
      <c r="B15" s="217"/>
      <c r="C15" s="34" t="s">
        <v>186</v>
      </c>
      <c r="D15" s="107">
        <f>D14*1000*$D$8/$D$6</f>
        <v>3.9740259740259742</v>
      </c>
      <c r="E15" s="109">
        <f>E14*1000*$D$8/$D$6</f>
        <v>21.194805194805195</v>
      </c>
      <c r="F15" s="109">
        <f>F14*1000*$D$8/$D$6</f>
        <v>26.493506493506494</v>
      </c>
      <c r="G15" s="109">
        <f>G14*1000*$D$8/$D$6</f>
        <v>52.987012987012989</v>
      </c>
      <c r="H15" s="109">
        <f>H14*1000*$D$8/$D$6</f>
        <v>248.37662337662337</v>
      </c>
      <c r="I15" s="218" t="s">
        <v>187</v>
      </c>
      <c r="J15" s="172"/>
      <c r="K15" s="219"/>
      <c r="L15" s="219"/>
      <c r="M15" s="174"/>
      <c r="AA15" s="103"/>
    </row>
    <row r="16" spans="1:30" x14ac:dyDescent="0.25">
      <c r="A16" s="171"/>
      <c r="B16" s="172"/>
      <c r="C16" s="175" t="str">
        <f>"Charge mph (" &amp; $D$7 &amp; " Wh/mi)"</f>
        <v>Charge mph (345 Wh/mi)</v>
      </c>
      <c r="D16" s="84">
        <f>D14*1000*$D$8/$D$7</f>
        <v>3.5478260869565217</v>
      </c>
      <c r="E16" s="39">
        <f t="shared" ref="E16:H16" si="1">E14*1000*$D$8/$D$7</f>
        <v>18.921739130434784</v>
      </c>
      <c r="F16" s="39">
        <f t="shared" si="1"/>
        <v>23.652173913043477</v>
      </c>
      <c r="G16" s="39">
        <f t="shared" si="1"/>
        <v>47.304347826086953</v>
      </c>
      <c r="H16" s="39">
        <f t="shared" si="1"/>
        <v>221.7391304347826</v>
      </c>
      <c r="I16" s="218" t="s">
        <v>185</v>
      </c>
      <c r="J16" s="172"/>
      <c r="K16" s="219"/>
      <c r="L16" s="219"/>
      <c r="M16" s="174"/>
      <c r="N16"/>
      <c r="O16"/>
      <c r="P16"/>
    </row>
    <row r="17" spans="1:27" x14ac:dyDescent="0.25">
      <c r="A17" s="171"/>
      <c r="B17" s="172"/>
      <c r="C17" s="175" t="str">
        <f>"Full Charge Hrs (" &amp; $D$5 &amp; "kWh)"</f>
        <v>Full Charge Hrs (82.5kWh)</v>
      </c>
      <c r="D17" s="39">
        <f>$D$5/(D14*$D$8)</f>
        <v>67.401960784313729</v>
      </c>
      <c r="E17" s="39">
        <f t="shared" ref="E17:H17" si="2">$D$5/(E14*$D$8)</f>
        <v>12.637867647058824</v>
      </c>
      <c r="F17" s="84">
        <f t="shared" si="2"/>
        <v>10.110294117647058</v>
      </c>
      <c r="G17" s="84">
        <f t="shared" si="2"/>
        <v>5.055147058823529</v>
      </c>
      <c r="H17" s="84">
        <f t="shared" si="2"/>
        <v>1.0784313725490196</v>
      </c>
      <c r="I17" s="218" t="s">
        <v>180</v>
      </c>
      <c r="J17" s="172"/>
      <c r="K17" s="172"/>
      <c r="L17" s="172"/>
      <c r="M17" s="174"/>
      <c r="N17"/>
      <c r="O17"/>
      <c r="P17"/>
    </row>
    <row r="18" spans="1:27" x14ac:dyDescent="0.25">
      <c r="A18" s="171"/>
      <c r="B18" s="172"/>
      <c r="C18" s="172"/>
      <c r="D18" s="218" t="s">
        <v>92</v>
      </c>
      <c r="E18" s="172"/>
      <c r="F18" s="172"/>
      <c r="G18" s="172"/>
      <c r="H18" s="172"/>
      <c r="I18" s="172"/>
      <c r="J18" s="172"/>
      <c r="K18" s="172"/>
      <c r="L18" s="172"/>
      <c r="M18" s="174"/>
      <c r="N18"/>
      <c r="O18"/>
      <c r="P18"/>
    </row>
    <row r="19" spans="1:27" ht="6.75" customHeight="1" x14ac:dyDescent="0.25">
      <c r="A19" s="171"/>
      <c r="B19" s="172"/>
      <c r="C19" s="172"/>
      <c r="D19" s="218"/>
      <c r="E19" s="172"/>
      <c r="F19" s="172"/>
      <c r="G19" s="172"/>
      <c r="H19" s="172"/>
      <c r="I19" s="172"/>
      <c r="J19" s="172"/>
      <c r="K19" s="172"/>
      <c r="L19" s="172"/>
      <c r="M19" s="174"/>
      <c r="AA19" s="103"/>
    </row>
    <row r="20" spans="1:27" ht="15" customHeight="1" x14ac:dyDescent="0.25">
      <c r="A20" s="171"/>
      <c r="B20" s="172"/>
      <c r="C20" s="220"/>
      <c r="D20" s="302" t="s">
        <v>184</v>
      </c>
      <c r="E20" s="302"/>
      <c r="F20" s="302"/>
      <c r="G20" s="302"/>
      <c r="H20" s="302"/>
      <c r="I20" s="302"/>
      <c r="J20" s="302"/>
      <c r="K20" s="302"/>
      <c r="L20" s="236"/>
      <c r="M20" s="174"/>
      <c r="N20"/>
      <c r="O20"/>
      <c r="P20"/>
    </row>
    <row r="21" spans="1:27" x14ac:dyDescent="0.25">
      <c r="A21" s="171"/>
      <c r="B21" s="172"/>
      <c r="C21" s="221"/>
      <c r="D21" s="304" t="s">
        <v>181</v>
      </c>
      <c r="E21" s="304"/>
      <c r="F21" s="304"/>
      <c r="G21" s="304"/>
      <c r="H21" s="304"/>
      <c r="I21" s="304"/>
      <c r="J21" s="304"/>
      <c r="K21" s="304"/>
      <c r="L21" s="239"/>
      <c r="M21" s="174"/>
      <c r="N21"/>
      <c r="O21"/>
      <c r="P21"/>
    </row>
    <row r="22" spans="1:27" x14ac:dyDescent="0.25">
      <c r="A22" s="171"/>
      <c r="B22" s="172"/>
      <c r="C22" s="222"/>
      <c r="D22" s="105">
        <f t="shared" ref="D22:K22" si="3">D30</f>
        <v>60</v>
      </c>
      <c r="E22" s="105">
        <f t="shared" si="3"/>
        <v>65</v>
      </c>
      <c r="F22" s="105">
        <f t="shared" si="3"/>
        <v>70</v>
      </c>
      <c r="G22" s="105">
        <f t="shared" si="3"/>
        <v>75</v>
      </c>
      <c r="H22" s="105">
        <f t="shared" si="3"/>
        <v>80</v>
      </c>
      <c r="I22" s="105">
        <f t="shared" si="3"/>
        <v>85</v>
      </c>
      <c r="J22" s="105">
        <f t="shared" si="3"/>
        <v>90</v>
      </c>
      <c r="K22" s="105">
        <f t="shared" si="3"/>
        <v>95</v>
      </c>
      <c r="L22" s="240"/>
      <c r="M22" s="174"/>
    </row>
    <row r="23" spans="1:27" x14ac:dyDescent="0.25">
      <c r="A23" s="171"/>
      <c r="B23" s="303" t="s">
        <v>147</v>
      </c>
      <c r="C23" s="223">
        <f>D14</f>
        <v>1.44</v>
      </c>
      <c r="D23" s="106">
        <f t="shared" ref="D23:K27" si="4">D$31*D$22/(1000*$C23*$D$8)</f>
        <v>13.725490196078431</v>
      </c>
      <c r="E23" s="106">
        <f t="shared" si="4"/>
        <v>16.454665032679742</v>
      </c>
      <c r="F23" s="106">
        <f t="shared" si="4"/>
        <v>19.361919934640525</v>
      </c>
      <c r="G23" s="106">
        <f t="shared" si="4"/>
        <v>22.698835784313729</v>
      </c>
      <c r="H23" s="106">
        <f t="shared" si="4"/>
        <v>26.504444444444445</v>
      </c>
      <c r="I23" s="106">
        <f t="shared" si="4"/>
        <v>30.817777777777781</v>
      </c>
      <c r="J23" s="106">
        <f t="shared" si="4"/>
        <v>35.677867647058825</v>
      </c>
      <c r="K23" s="106">
        <f t="shared" si="4"/>
        <v>41.123745915032679</v>
      </c>
      <c r="L23" s="241"/>
      <c r="M23" s="224"/>
    </row>
    <row r="24" spans="1:27" x14ac:dyDescent="0.25">
      <c r="A24" s="171"/>
      <c r="B24" s="303"/>
      <c r="C24" s="223">
        <f>E14</f>
        <v>7.68</v>
      </c>
      <c r="D24" s="114">
        <f t="shared" si="4"/>
        <v>2.5735294117647061</v>
      </c>
      <c r="E24" s="114">
        <f t="shared" si="4"/>
        <v>3.0852496936274512</v>
      </c>
      <c r="F24" s="114">
        <f t="shared" si="4"/>
        <v>3.6303599877450985</v>
      </c>
      <c r="G24" s="114">
        <f t="shared" si="4"/>
        <v>4.2560317095588243</v>
      </c>
      <c r="H24" s="114">
        <f t="shared" si="4"/>
        <v>4.9695833333333335</v>
      </c>
      <c r="I24" s="114">
        <f t="shared" si="4"/>
        <v>5.7783333333333342</v>
      </c>
      <c r="J24" s="114">
        <f t="shared" si="4"/>
        <v>6.6896001838235293</v>
      </c>
      <c r="K24" s="114">
        <f t="shared" si="4"/>
        <v>7.7107023590686268</v>
      </c>
      <c r="L24" s="242"/>
      <c r="M24" s="224"/>
    </row>
    <row r="25" spans="1:27" x14ac:dyDescent="0.25">
      <c r="A25" s="171"/>
      <c r="B25" s="303"/>
      <c r="C25" s="223">
        <f>F14</f>
        <v>9.6</v>
      </c>
      <c r="D25" s="114">
        <f t="shared" si="4"/>
        <v>2.0588235294117645</v>
      </c>
      <c r="E25" s="114">
        <f t="shared" si="4"/>
        <v>2.4681997549019612</v>
      </c>
      <c r="F25" s="114">
        <f t="shared" si="4"/>
        <v>2.9042879901960785</v>
      </c>
      <c r="G25" s="114">
        <f t="shared" si="4"/>
        <v>3.4048253676470592</v>
      </c>
      <c r="H25" s="114">
        <f t="shared" si="4"/>
        <v>3.9756666666666671</v>
      </c>
      <c r="I25" s="114">
        <f t="shared" si="4"/>
        <v>4.6226666666666674</v>
      </c>
      <c r="J25" s="114">
        <f t="shared" si="4"/>
        <v>5.3516801470588238</v>
      </c>
      <c r="K25" s="114">
        <f t="shared" si="4"/>
        <v>6.168561887254902</v>
      </c>
      <c r="L25" s="242"/>
      <c r="M25" s="224"/>
    </row>
    <row r="26" spans="1:27" x14ac:dyDescent="0.25">
      <c r="A26" s="171"/>
      <c r="B26" s="303"/>
      <c r="C26" s="225">
        <f>G14</f>
        <v>19.2</v>
      </c>
      <c r="D26" s="114">
        <f t="shared" si="4"/>
        <v>1.0294117647058822</v>
      </c>
      <c r="E26" s="114">
        <f t="shared" si="4"/>
        <v>1.2340998774509806</v>
      </c>
      <c r="F26" s="114">
        <f t="shared" si="4"/>
        <v>1.4521439950980393</v>
      </c>
      <c r="G26" s="114">
        <f t="shared" si="4"/>
        <v>1.7024126838235296</v>
      </c>
      <c r="H26" s="114">
        <f t="shared" si="4"/>
        <v>1.9878333333333336</v>
      </c>
      <c r="I26" s="114">
        <f t="shared" si="4"/>
        <v>2.3113333333333337</v>
      </c>
      <c r="J26" s="114">
        <f t="shared" si="4"/>
        <v>2.6758400735294119</v>
      </c>
      <c r="K26" s="114">
        <f t="shared" si="4"/>
        <v>3.084280943627451</v>
      </c>
      <c r="L26" s="242"/>
      <c r="M26" s="224"/>
    </row>
    <row r="27" spans="1:27" ht="17.25" x14ac:dyDescent="0.25">
      <c r="A27" s="171"/>
      <c r="B27" s="303"/>
      <c r="C27" s="225">
        <f>H14</f>
        <v>90</v>
      </c>
      <c r="D27" s="114">
        <f t="shared" si="4"/>
        <v>0.2196078431372549</v>
      </c>
      <c r="E27" s="114">
        <f t="shared" si="4"/>
        <v>0.26327464052287586</v>
      </c>
      <c r="F27" s="114">
        <f t="shared" si="4"/>
        <v>0.30979071895424837</v>
      </c>
      <c r="G27" s="114">
        <f t="shared" si="4"/>
        <v>0.36318137254901967</v>
      </c>
      <c r="H27" s="114">
        <f t="shared" si="4"/>
        <v>0.42407111111111112</v>
      </c>
      <c r="I27" s="114">
        <f t="shared" si="4"/>
        <v>0.49308444444444455</v>
      </c>
      <c r="J27" s="114">
        <f t="shared" si="4"/>
        <v>0.5708458823529412</v>
      </c>
      <c r="K27" s="114">
        <f t="shared" si="4"/>
        <v>0.65797993464052285</v>
      </c>
      <c r="L27" s="242"/>
      <c r="M27" s="224"/>
      <c r="P27" s="4" t="s">
        <v>183</v>
      </c>
    </row>
    <row r="28" spans="1:27" x14ac:dyDescent="0.25">
      <c r="A28" s="171"/>
      <c r="B28" s="172"/>
      <c r="C28" s="172"/>
      <c r="D28" s="226"/>
      <c r="E28" s="227"/>
      <c r="F28" s="227"/>
      <c r="G28" s="227"/>
      <c r="H28" s="227"/>
      <c r="I28" s="172"/>
      <c r="J28" s="172"/>
      <c r="K28" s="172"/>
      <c r="L28" s="172"/>
      <c r="M28" s="174"/>
    </row>
    <row r="29" spans="1:27" ht="15.75" x14ac:dyDescent="0.25">
      <c r="A29" s="216"/>
      <c r="B29" s="228"/>
      <c r="C29" s="228"/>
      <c r="D29" s="302" t="s">
        <v>245</v>
      </c>
      <c r="E29" s="302"/>
      <c r="F29" s="302"/>
      <c r="G29" s="302"/>
      <c r="H29" s="302"/>
      <c r="I29" s="302"/>
      <c r="J29" s="302"/>
      <c r="K29" s="302"/>
      <c r="L29" s="236"/>
      <c r="M29" s="174"/>
    </row>
    <row r="30" spans="1:27" x14ac:dyDescent="0.25">
      <c r="A30" s="171"/>
      <c r="B30" s="228"/>
      <c r="C30" s="229" t="s">
        <v>198</v>
      </c>
      <c r="D30" s="115">
        <v>60</v>
      </c>
      <c r="E30" s="115">
        <v>65</v>
      </c>
      <c r="F30" s="115">
        <v>70</v>
      </c>
      <c r="G30" s="115">
        <v>75</v>
      </c>
      <c r="H30" s="115">
        <v>80</v>
      </c>
      <c r="I30" s="115">
        <v>85</v>
      </c>
      <c r="J30" s="115">
        <v>90</v>
      </c>
      <c r="K30" s="115">
        <v>95</v>
      </c>
      <c r="L30" s="115">
        <v>100</v>
      </c>
      <c r="M30" s="174"/>
      <c r="P30" s="235"/>
    </row>
    <row r="31" spans="1:27" x14ac:dyDescent="0.25">
      <c r="A31" s="171"/>
      <c r="B31" s="228"/>
      <c r="C31" s="229" t="s">
        <v>197</v>
      </c>
      <c r="D31" s="277">
        <v>280</v>
      </c>
      <c r="E31" s="277">
        <f t="shared" ref="E31:L31" si="5">0.0637*E$30^2-2.8589*E$30+226.55</f>
        <v>309.85400000000004</v>
      </c>
      <c r="F31" s="277">
        <f t="shared" si="5"/>
        <v>338.55700000000002</v>
      </c>
      <c r="G31" s="277">
        <f t="shared" si="5"/>
        <v>370.44500000000005</v>
      </c>
      <c r="H31" s="277">
        <f t="shared" si="5"/>
        <v>405.51800000000003</v>
      </c>
      <c r="I31" s="277">
        <f t="shared" si="5"/>
        <v>443.77600000000007</v>
      </c>
      <c r="J31" s="277">
        <f t="shared" si="5"/>
        <v>485.21899999999999</v>
      </c>
      <c r="K31" s="277">
        <f t="shared" si="5"/>
        <v>529.84699999999998</v>
      </c>
      <c r="L31" s="277">
        <f t="shared" si="5"/>
        <v>577.66000000000008</v>
      </c>
      <c r="M31" s="174"/>
      <c r="P31" s="235"/>
    </row>
    <row r="32" spans="1:27" x14ac:dyDescent="0.25">
      <c r="A32" s="171"/>
      <c r="B32" s="307" t="s">
        <v>75</v>
      </c>
      <c r="C32" s="230">
        <v>40</v>
      </c>
      <c r="D32" s="106">
        <f>($C32*0.95)*1000/D$31</f>
        <v>135.71428571428572</v>
      </c>
      <c r="E32" s="106">
        <f t="shared" ref="E32:L32" si="6">($C32*0.95)*1000/E$31</f>
        <v>122.63840389344658</v>
      </c>
      <c r="F32" s="106">
        <f t="shared" si="6"/>
        <v>112.24107018906713</v>
      </c>
      <c r="G32" s="106">
        <f t="shared" si="6"/>
        <v>102.57933026495159</v>
      </c>
      <c r="H32" s="106">
        <f t="shared" si="6"/>
        <v>93.707307690410772</v>
      </c>
      <c r="I32" s="106">
        <f t="shared" si="6"/>
        <v>85.628785693683284</v>
      </c>
      <c r="J32" s="106">
        <f t="shared" si="6"/>
        <v>78.315152539368825</v>
      </c>
      <c r="K32" s="106">
        <f t="shared" si="6"/>
        <v>71.718816941494438</v>
      </c>
      <c r="L32" s="106">
        <f t="shared" si="6"/>
        <v>65.782640307447281</v>
      </c>
      <c r="M32" s="174"/>
      <c r="P32" s="235"/>
    </row>
    <row r="33" spans="1:16" x14ac:dyDescent="0.25">
      <c r="A33" s="171"/>
      <c r="B33" s="307"/>
      <c r="C33" s="230">
        <v>60</v>
      </c>
      <c r="D33" s="106">
        <f t="shared" ref="D33:L34" si="7">($C33*0.95)*1000/D$31</f>
        <v>203.57142857142858</v>
      </c>
      <c r="E33" s="106">
        <f t="shared" si="7"/>
        <v>183.95760584016986</v>
      </c>
      <c r="F33" s="106">
        <f t="shared" si="7"/>
        <v>168.36160528360068</v>
      </c>
      <c r="G33" s="106">
        <f t="shared" si="7"/>
        <v>153.8689953974274</v>
      </c>
      <c r="H33" s="106">
        <f t="shared" si="7"/>
        <v>140.56096153561617</v>
      </c>
      <c r="I33" s="106">
        <f t="shared" si="7"/>
        <v>128.44317854052494</v>
      </c>
      <c r="J33" s="106">
        <f t="shared" si="7"/>
        <v>117.47272880905324</v>
      </c>
      <c r="K33" s="106">
        <f t="shared" si="7"/>
        <v>107.57822541224165</v>
      </c>
      <c r="L33" s="106">
        <f t="shared" si="7"/>
        <v>98.673960461170921</v>
      </c>
      <c r="M33" s="174"/>
      <c r="P33" s="235"/>
    </row>
    <row r="34" spans="1:16" x14ac:dyDescent="0.25">
      <c r="A34" s="171"/>
      <c r="B34" s="307"/>
      <c r="C34" s="230">
        <v>85</v>
      </c>
      <c r="D34" s="106">
        <f t="shared" si="7"/>
        <v>288.39285714285717</v>
      </c>
      <c r="E34" s="106">
        <f t="shared" si="7"/>
        <v>260.60660827357395</v>
      </c>
      <c r="F34" s="106">
        <f t="shared" si="7"/>
        <v>238.51227415176763</v>
      </c>
      <c r="G34" s="106">
        <f t="shared" si="7"/>
        <v>217.98107681302216</v>
      </c>
      <c r="H34" s="106">
        <f t="shared" si="7"/>
        <v>199.12802884212289</v>
      </c>
      <c r="I34" s="106">
        <f t="shared" si="7"/>
        <v>181.96116959907698</v>
      </c>
      <c r="J34" s="106">
        <f t="shared" si="7"/>
        <v>166.41969914615873</v>
      </c>
      <c r="K34" s="106">
        <f t="shared" si="7"/>
        <v>152.40248600067568</v>
      </c>
      <c r="L34" s="106">
        <f t="shared" si="7"/>
        <v>139.78811065332548</v>
      </c>
      <c r="M34" s="174"/>
      <c r="P34" s="235"/>
    </row>
    <row r="35" spans="1:16" x14ac:dyDescent="0.25">
      <c r="A35" s="171"/>
      <c r="B35" s="231"/>
      <c r="C35" s="172"/>
      <c r="D35" s="308" t="s">
        <v>172</v>
      </c>
      <c r="E35" s="308"/>
      <c r="F35" s="308"/>
      <c r="G35" s="308"/>
      <c r="H35" s="308"/>
      <c r="I35" s="308"/>
      <c r="J35" s="308"/>
      <c r="K35" s="308"/>
      <c r="L35" s="243"/>
      <c r="M35" s="174"/>
    </row>
    <row r="36" spans="1:16" ht="15.75" thickBot="1" x14ac:dyDescent="0.3">
      <c r="A36" s="179"/>
      <c r="B36" s="180"/>
      <c r="C36" s="232"/>
      <c r="D36" s="306" t="s">
        <v>189</v>
      </c>
      <c r="E36" s="306"/>
      <c r="F36" s="306"/>
      <c r="G36" s="306"/>
      <c r="H36" s="306"/>
      <c r="I36" s="306"/>
      <c r="J36" s="306"/>
      <c r="K36" s="306"/>
      <c r="L36" s="238"/>
      <c r="M36" s="182"/>
    </row>
  </sheetData>
  <mergeCells count="8">
    <mergeCell ref="D20:K20"/>
    <mergeCell ref="B23:B27"/>
    <mergeCell ref="D21:K21"/>
    <mergeCell ref="D11:H11"/>
    <mergeCell ref="D36:K36"/>
    <mergeCell ref="B32:B34"/>
    <mergeCell ref="D35:K35"/>
    <mergeCell ref="D29:K29"/>
  </mergeCells>
  <hyperlinks>
    <hyperlink ref="E8" r:id="rId1" location="comment-142882"/>
    <hyperlink ref="I1" r:id="rId2"/>
    <hyperlink ref="O3" location="ModelSChargeRef!A1" display="Charging"/>
    <hyperlink ref="O4" location="ElectricityCost!A1" display="Electricity Costs"/>
    <hyperlink ref="O5" location="'Weight+Capacity'!A1" display="Weight &amp; Capacity"/>
  </hyperlinks>
  <printOptions horizontalCentered="1" verticalCentered="1"/>
  <pageMargins left="0.25" right="0.25" top="0.75" bottom="0.75" header="0.3" footer="0.3"/>
  <pageSetup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8"/>
  <sheetViews>
    <sheetView topLeftCell="A25" workbookViewId="0">
      <selection activeCell="B71" sqref="B71"/>
    </sheetView>
  </sheetViews>
  <sheetFormatPr defaultRowHeight="15" x14ac:dyDescent="0.25"/>
  <cols>
    <col min="1" max="1" width="37" style="4" customWidth="1"/>
    <col min="2" max="2" width="93.140625" style="4" customWidth="1"/>
    <col min="3" max="3" width="10.5703125" style="5" bestFit="1" customWidth="1"/>
    <col min="4" max="4" width="26.5703125" style="6" bestFit="1" customWidth="1"/>
    <col min="5" max="16384" width="9.140625" style="4"/>
  </cols>
  <sheetData>
    <row r="1" spans="1:4" x14ac:dyDescent="0.25">
      <c r="A1" s="4" t="s">
        <v>48</v>
      </c>
      <c r="B1" s="3" t="s">
        <v>49</v>
      </c>
    </row>
    <row r="4" spans="1:4" x14ac:dyDescent="0.25">
      <c r="A4" s="4" t="s">
        <v>52</v>
      </c>
      <c r="B4" s="3" t="s">
        <v>53</v>
      </c>
      <c r="C4" s="5">
        <v>7500</v>
      </c>
    </row>
    <row r="5" spans="1:4" x14ac:dyDescent="0.25">
      <c r="B5" s="3" t="s">
        <v>55</v>
      </c>
    </row>
    <row r="6" spans="1:4" x14ac:dyDescent="0.25">
      <c r="B6" s="3" t="s">
        <v>71</v>
      </c>
    </row>
    <row r="7" spans="1:4" x14ac:dyDescent="0.25">
      <c r="B7" s="3"/>
    </row>
    <row r="8" spans="1:4" x14ac:dyDescent="0.25">
      <c r="A8" s="4" t="s">
        <v>54</v>
      </c>
      <c r="B8" s="3" t="s">
        <v>56</v>
      </c>
      <c r="C8" s="5">
        <v>2500</v>
      </c>
    </row>
    <row r="10" spans="1:4" x14ac:dyDescent="0.25">
      <c r="A10" s="4" t="s">
        <v>57</v>
      </c>
      <c r="B10" s="3" t="s">
        <v>58</v>
      </c>
    </row>
    <row r="12" spans="1:4" x14ac:dyDescent="0.25">
      <c r="A12" s="4" t="s">
        <v>59</v>
      </c>
      <c r="B12" s="3" t="s">
        <v>60</v>
      </c>
    </row>
    <row r="14" spans="1:4" x14ac:dyDescent="0.25">
      <c r="A14" s="4" t="s">
        <v>61</v>
      </c>
      <c r="D14" s="7">
        <v>0.1</v>
      </c>
    </row>
    <row r="16" spans="1:4" x14ac:dyDescent="0.25">
      <c r="A16" s="4" t="s">
        <v>62</v>
      </c>
      <c r="D16" s="7">
        <v>0.1</v>
      </c>
    </row>
    <row r="18" spans="1:12" x14ac:dyDescent="0.25">
      <c r="A18" s="4" t="s">
        <v>63</v>
      </c>
      <c r="B18" s="3" t="s">
        <v>64</v>
      </c>
      <c r="D18" s="6" t="s">
        <v>65</v>
      </c>
    </row>
    <row r="20" spans="1:12" x14ac:dyDescent="0.25">
      <c r="A20" s="4" t="s">
        <v>66</v>
      </c>
      <c r="D20" s="6" t="s">
        <v>67</v>
      </c>
    </row>
    <row r="22" spans="1:12" x14ac:dyDescent="0.25">
      <c r="A22" s="4" t="s">
        <v>84</v>
      </c>
      <c r="B22" s="3" t="s">
        <v>85</v>
      </c>
      <c r="C22" s="4"/>
      <c r="D22" s="4"/>
    </row>
    <row r="23" spans="1:12" x14ac:dyDescent="0.25">
      <c r="A23" s="36" t="s">
        <v>76</v>
      </c>
      <c r="C23" s="4"/>
      <c r="D23" s="4"/>
    </row>
    <row r="24" spans="1:12" x14ac:dyDescent="0.25">
      <c r="A24" s="36" t="s">
        <v>78</v>
      </c>
      <c r="C24" s="4"/>
      <c r="D24" s="4"/>
    </row>
    <row r="25" spans="1:12" x14ac:dyDescent="0.25">
      <c r="C25" s="4"/>
      <c r="D25" s="4"/>
    </row>
    <row r="26" spans="1:12" x14ac:dyDescent="0.25">
      <c r="A26" s="11"/>
      <c r="B26" s="11"/>
      <c r="C26" s="11"/>
    </row>
    <row r="27" spans="1:12" x14ac:dyDescent="0.25">
      <c r="A27" s="12" t="s">
        <v>69</v>
      </c>
      <c r="B27" s="12" t="s">
        <v>70</v>
      </c>
      <c r="C27" s="12" t="s">
        <v>72</v>
      </c>
    </row>
    <row r="28" spans="1:12" x14ac:dyDescent="0.25">
      <c r="A28" s="12" t="s">
        <v>68</v>
      </c>
      <c r="B28" s="11"/>
      <c r="C28" s="11"/>
    </row>
    <row r="29" spans="1:12" x14ac:dyDescent="0.25">
      <c r="A29" s="12" t="s">
        <v>51</v>
      </c>
      <c r="B29" s="11"/>
      <c r="C29" s="11"/>
    </row>
    <row r="31" spans="1:12" x14ac:dyDescent="0.2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</row>
    <row r="32" spans="1:12" x14ac:dyDescent="0.25">
      <c r="A32" s="12" t="s">
        <v>69</v>
      </c>
      <c r="B32" s="11"/>
      <c r="C32" s="12" t="s">
        <v>72</v>
      </c>
      <c r="D32" s="11"/>
      <c r="E32" s="11"/>
      <c r="F32" s="330"/>
      <c r="G32" s="330"/>
      <c r="H32" s="330"/>
      <c r="I32" s="11"/>
      <c r="J32" s="11"/>
      <c r="K32" s="11"/>
      <c r="L32" s="11"/>
    </row>
    <row r="33" spans="1:12" x14ac:dyDescent="0.25">
      <c r="A33" s="12"/>
      <c r="B33" s="11"/>
      <c r="C33" s="12"/>
      <c r="D33" s="11"/>
      <c r="E33" s="11"/>
      <c r="F33" s="49"/>
      <c r="G33" s="49"/>
      <c r="H33" s="49"/>
      <c r="I33" s="11"/>
      <c r="J33" s="11"/>
      <c r="K33" s="11"/>
      <c r="L33" s="11"/>
    </row>
    <row r="34" spans="1:12" x14ac:dyDescent="0.25">
      <c r="A34" s="12" t="s">
        <v>68</v>
      </c>
      <c r="B34" s="11"/>
      <c r="C34" s="47" t="s">
        <v>70</v>
      </c>
      <c r="D34" s="11"/>
      <c r="E34" s="11"/>
      <c r="F34" s="11"/>
      <c r="G34" s="11"/>
      <c r="H34" s="11"/>
      <c r="I34" s="11"/>
      <c r="J34" s="11"/>
      <c r="K34" s="11"/>
      <c r="L34" s="11"/>
    </row>
    <row r="35" spans="1:12" x14ac:dyDescent="0.25">
      <c r="A35" s="12" t="s">
        <v>51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</row>
    <row r="36" spans="1:12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</row>
    <row r="37" spans="1:12" x14ac:dyDescent="0.25">
      <c r="A37" s="11" t="s">
        <v>102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</row>
    <row r="38" spans="1:12" x14ac:dyDescent="0.25">
      <c r="A38" s="331" t="s">
        <v>5</v>
      </c>
      <c r="B38" s="331"/>
      <c r="C38" s="331"/>
      <c r="D38" s="331"/>
      <c r="E38" s="331"/>
      <c r="F38" s="19"/>
      <c r="G38" s="19"/>
      <c r="H38" s="19"/>
      <c r="I38" s="19"/>
      <c r="J38" s="19"/>
      <c r="K38" s="19"/>
      <c r="L38" s="19"/>
    </row>
    <row r="39" spans="1:12" ht="15.75" thickBot="1" x14ac:dyDescent="0.3">
      <c r="A39" s="23"/>
      <c r="B39" s="332" t="s">
        <v>6</v>
      </c>
      <c r="C39" s="332"/>
      <c r="D39" s="332" t="s">
        <v>7</v>
      </c>
      <c r="E39" s="332"/>
      <c r="F39" s="11"/>
      <c r="G39" s="11"/>
      <c r="H39" s="11"/>
      <c r="I39" s="11"/>
      <c r="J39" s="11"/>
      <c r="K39" s="11"/>
      <c r="L39" s="11"/>
    </row>
    <row r="40" spans="1:12" ht="24.75" thickBot="1" x14ac:dyDescent="0.3">
      <c r="A40" s="24"/>
      <c r="B40" s="1" t="s">
        <v>8</v>
      </c>
      <c r="C40" s="48" t="s">
        <v>9</v>
      </c>
      <c r="D40" s="1" t="s">
        <v>8</v>
      </c>
      <c r="E40" s="48" t="s">
        <v>9</v>
      </c>
      <c r="F40" s="11"/>
      <c r="G40" s="11"/>
      <c r="H40" s="11"/>
      <c r="I40" s="11"/>
      <c r="J40" s="11"/>
      <c r="K40" s="11"/>
      <c r="L40" s="11"/>
    </row>
    <row r="41" spans="1:12" x14ac:dyDescent="0.25">
      <c r="A41" s="43" t="s">
        <v>10</v>
      </c>
      <c r="B41" s="333" t="s">
        <v>12</v>
      </c>
      <c r="C41" s="333" t="s">
        <v>13</v>
      </c>
      <c r="D41" s="333" t="s">
        <v>14</v>
      </c>
      <c r="E41" s="335" t="s">
        <v>15</v>
      </c>
      <c r="F41" s="11"/>
      <c r="G41" s="11"/>
      <c r="H41" s="11"/>
      <c r="I41" s="11"/>
      <c r="J41" s="11"/>
      <c r="K41" s="11"/>
      <c r="L41" s="11"/>
    </row>
    <row r="42" spans="1:12" x14ac:dyDescent="0.25">
      <c r="A42" s="43" t="s">
        <v>11</v>
      </c>
      <c r="B42" s="334"/>
      <c r="C42" s="334"/>
      <c r="D42" s="334"/>
      <c r="E42" s="336"/>
      <c r="F42" s="11"/>
      <c r="G42" s="11"/>
      <c r="H42" s="11"/>
      <c r="I42" s="11"/>
      <c r="J42" s="11"/>
      <c r="K42" s="11"/>
      <c r="L42" s="11"/>
    </row>
    <row r="43" spans="1:12" x14ac:dyDescent="0.25">
      <c r="A43" s="2" t="s">
        <v>16</v>
      </c>
      <c r="B43" s="337" t="s">
        <v>14</v>
      </c>
      <c r="C43" s="337" t="s">
        <v>18</v>
      </c>
      <c r="D43" s="337" t="s">
        <v>19</v>
      </c>
      <c r="E43" s="338" t="s">
        <v>20</v>
      </c>
      <c r="F43" s="11"/>
      <c r="G43" s="11"/>
      <c r="H43" s="11"/>
      <c r="I43" s="11"/>
      <c r="J43" s="11"/>
      <c r="K43" s="11"/>
      <c r="L43" s="11"/>
    </row>
    <row r="44" spans="1:12" x14ac:dyDescent="0.25">
      <c r="A44" s="2" t="s">
        <v>17</v>
      </c>
      <c r="B44" s="337"/>
      <c r="C44" s="337"/>
      <c r="D44" s="337"/>
      <c r="E44" s="338"/>
      <c r="F44" s="11"/>
      <c r="G44" s="11"/>
      <c r="H44" s="11"/>
      <c r="I44" s="11"/>
      <c r="J44" s="11"/>
      <c r="K44" s="11"/>
      <c r="L44" s="11"/>
    </row>
    <row r="45" spans="1:12" x14ac:dyDescent="0.25">
      <c r="A45" s="43" t="s">
        <v>21</v>
      </c>
      <c r="B45" s="334" t="s">
        <v>23</v>
      </c>
      <c r="C45" s="334" t="s">
        <v>24</v>
      </c>
      <c r="D45" s="334" t="s">
        <v>23</v>
      </c>
      <c r="E45" s="336" t="s">
        <v>25</v>
      </c>
      <c r="F45" s="11"/>
      <c r="G45" s="11"/>
      <c r="H45" s="11"/>
      <c r="I45" s="11"/>
      <c r="J45" s="11"/>
      <c r="K45" s="11"/>
      <c r="L45" s="11"/>
    </row>
    <row r="46" spans="1:12" x14ac:dyDescent="0.25">
      <c r="A46" s="43" t="s">
        <v>22</v>
      </c>
      <c r="B46" s="334"/>
      <c r="C46" s="334"/>
      <c r="D46" s="334"/>
      <c r="E46" s="336"/>
      <c r="F46" s="11"/>
      <c r="G46" s="11"/>
      <c r="H46" s="11"/>
      <c r="I46" s="11"/>
      <c r="J46" s="11"/>
      <c r="K46" s="11"/>
      <c r="L46" s="11"/>
    </row>
    <row r="47" spans="1:12" x14ac:dyDescent="0.25">
      <c r="A47" s="11"/>
      <c r="B47" s="47" t="s">
        <v>50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</row>
    <row r="48" spans="1:12" x14ac:dyDescent="0.25">
      <c r="A48" s="320"/>
      <c r="B48" s="320"/>
      <c r="C48" s="320"/>
      <c r="D48" s="320"/>
      <c r="E48" s="320"/>
      <c r="F48" s="11"/>
      <c r="G48" s="11"/>
      <c r="H48" s="11"/>
      <c r="I48" s="11"/>
      <c r="J48" s="11"/>
      <c r="K48" s="11"/>
      <c r="L48" s="11"/>
    </row>
    <row r="49" spans="1:12" x14ac:dyDescent="0.25">
      <c r="A49" s="54" t="s">
        <v>73</v>
      </c>
      <c r="B49" s="47"/>
      <c r="C49" s="47"/>
      <c r="D49" s="11"/>
      <c r="E49" s="11"/>
      <c r="F49" s="11"/>
      <c r="G49" s="11"/>
      <c r="H49" s="11"/>
      <c r="I49" s="11"/>
      <c r="J49" s="11"/>
      <c r="K49" s="11"/>
      <c r="L49" s="11"/>
    </row>
    <row r="50" spans="1:12" ht="15.75" thickBot="1" x14ac:dyDescent="0.3">
      <c r="A50" s="23"/>
      <c r="B50" s="48" t="s">
        <v>6</v>
      </c>
      <c r="C50" s="48" t="s">
        <v>7</v>
      </c>
      <c r="D50" s="11"/>
      <c r="E50" s="11"/>
      <c r="F50" s="11"/>
      <c r="G50" s="11"/>
      <c r="H50" s="11"/>
      <c r="I50" s="11"/>
      <c r="J50" s="11"/>
      <c r="K50" s="11"/>
      <c r="L50" s="11"/>
    </row>
    <row r="51" spans="1:12" x14ac:dyDescent="0.25">
      <c r="A51" s="43" t="s">
        <v>10</v>
      </c>
      <c r="B51" s="45" t="s">
        <v>27</v>
      </c>
      <c r="C51" s="46" t="s">
        <v>28</v>
      </c>
      <c r="D51" s="11"/>
      <c r="E51" s="11"/>
      <c r="F51" s="11"/>
      <c r="G51" s="11"/>
      <c r="H51" s="11"/>
      <c r="I51" s="11"/>
      <c r="J51" s="11"/>
      <c r="K51" s="11"/>
      <c r="L51" s="11"/>
    </row>
    <row r="52" spans="1:12" x14ac:dyDescent="0.25">
      <c r="A52" s="43" t="s">
        <v>26</v>
      </c>
      <c r="B52" s="41"/>
      <c r="C52" s="44"/>
      <c r="D52" s="11"/>
      <c r="E52" s="11"/>
      <c r="F52" s="11"/>
      <c r="G52" s="11"/>
      <c r="H52" s="11"/>
      <c r="I52" s="11"/>
      <c r="J52" s="11"/>
      <c r="K52" s="11"/>
      <c r="L52" s="11"/>
    </row>
    <row r="53" spans="1:12" x14ac:dyDescent="0.25">
      <c r="A53" s="2" t="s">
        <v>16</v>
      </c>
      <c r="B53" s="337" t="s">
        <v>19</v>
      </c>
      <c r="C53" s="338" t="s">
        <v>19</v>
      </c>
      <c r="D53" s="11"/>
      <c r="E53" s="11"/>
      <c r="F53" s="11"/>
      <c r="G53" s="11"/>
      <c r="H53" s="11"/>
      <c r="I53" s="11"/>
      <c r="J53" s="11"/>
      <c r="K53" s="11"/>
      <c r="L53" s="11"/>
    </row>
    <row r="54" spans="1:12" x14ac:dyDescent="0.25">
      <c r="A54" s="2" t="s">
        <v>29</v>
      </c>
      <c r="B54" s="337"/>
      <c r="C54" s="338"/>
      <c r="D54" s="11"/>
      <c r="E54" s="11"/>
      <c r="F54" s="11"/>
      <c r="G54" s="11"/>
      <c r="H54" s="11"/>
      <c r="I54" s="11"/>
      <c r="J54" s="11"/>
      <c r="K54" s="11"/>
      <c r="L54" s="11"/>
    </row>
    <row r="55" spans="1:12" x14ac:dyDescent="0.2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</row>
    <row r="56" spans="1:12" x14ac:dyDescent="0.25">
      <c r="A56" s="12" t="s">
        <v>47</v>
      </c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</row>
    <row r="57" spans="1:12" x14ac:dyDescent="0.25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</row>
    <row r="58" spans="1:12" x14ac:dyDescent="0.25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</row>
    <row r="59" spans="1:12" x14ac:dyDescent="0.25">
      <c r="A59" s="11"/>
      <c r="C59" s="4"/>
      <c r="D59" s="4"/>
      <c r="F59" s="11"/>
      <c r="G59" s="11"/>
      <c r="H59" s="11"/>
      <c r="I59" s="11"/>
      <c r="J59" s="11"/>
      <c r="K59" s="11"/>
      <c r="L59" s="11"/>
    </row>
    <row r="60" spans="1:12" x14ac:dyDescent="0.25">
      <c r="C60" s="4"/>
      <c r="D60" s="4"/>
      <c r="J60" s="11"/>
      <c r="K60" s="11"/>
      <c r="L60" s="11"/>
    </row>
    <row r="61" spans="1:12" x14ac:dyDescent="0.25">
      <c r="C61" s="4"/>
      <c r="D61" s="4"/>
      <c r="J61" s="11"/>
      <c r="K61" s="11"/>
      <c r="L61" s="11"/>
    </row>
    <row r="62" spans="1:12" x14ac:dyDescent="0.25">
      <c r="C62" s="4"/>
      <c r="D62" s="4"/>
      <c r="J62" s="11"/>
      <c r="K62" s="11"/>
      <c r="L62" s="11"/>
    </row>
    <row r="63" spans="1:12" x14ac:dyDescent="0.25">
      <c r="C63" s="4"/>
      <c r="D63" s="4"/>
      <c r="J63" s="11"/>
      <c r="K63" s="11"/>
      <c r="L63" s="11"/>
    </row>
    <row r="64" spans="1:12" x14ac:dyDescent="0.25">
      <c r="A64" s="4" t="s">
        <v>134</v>
      </c>
      <c r="B64" s="3" t="s">
        <v>133</v>
      </c>
      <c r="C64" s="4"/>
      <c r="D64" s="4"/>
      <c r="J64" s="11"/>
      <c r="K64" s="11"/>
      <c r="L64" s="11"/>
    </row>
    <row r="65" spans="3:12" x14ac:dyDescent="0.25">
      <c r="C65" s="4"/>
      <c r="D65" s="4"/>
      <c r="J65" s="11"/>
      <c r="K65" s="11"/>
      <c r="L65" s="11"/>
    </row>
    <row r="66" spans="3:12" x14ac:dyDescent="0.25">
      <c r="C66" s="4"/>
      <c r="D66" s="4"/>
      <c r="J66" s="11"/>
      <c r="K66" s="11"/>
      <c r="L66" s="11"/>
    </row>
    <row r="67" spans="3:12" x14ac:dyDescent="0.25">
      <c r="C67" s="4"/>
      <c r="D67" s="4"/>
      <c r="J67" s="11"/>
      <c r="K67" s="11"/>
      <c r="L67" s="11"/>
    </row>
    <row r="68" spans="3:12" x14ac:dyDescent="0.25">
      <c r="C68" s="4"/>
      <c r="D68" s="4"/>
      <c r="J68" s="11"/>
      <c r="K68" s="11"/>
      <c r="L68" s="11"/>
    </row>
  </sheetData>
  <mergeCells count="19">
    <mergeCell ref="A48:E48"/>
    <mergeCell ref="B53:B54"/>
    <mergeCell ref="C53:C54"/>
    <mergeCell ref="B43:B44"/>
    <mergeCell ref="C43:C44"/>
    <mergeCell ref="D43:D44"/>
    <mergeCell ref="E43:E44"/>
    <mergeCell ref="B45:B46"/>
    <mergeCell ref="C45:C46"/>
    <mergeCell ref="D45:D46"/>
    <mergeCell ref="E45:E46"/>
    <mergeCell ref="F32:H32"/>
    <mergeCell ref="A38:E38"/>
    <mergeCell ref="B39:C39"/>
    <mergeCell ref="D39:E39"/>
    <mergeCell ref="B41:B42"/>
    <mergeCell ref="C41:C42"/>
    <mergeCell ref="D41:D42"/>
    <mergeCell ref="E41:E42"/>
  </mergeCells>
  <hyperlinks>
    <hyperlink ref="B1" r:id="rId1"/>
    <hyperlink ref="B4" r:id="rId2"/>
    <hyperlink ref="B5" r:id="rId3"/>
    <hyperlink ref="B8" r:id="rId4"/>
    <hyperlink ref="B10" r:id="rId5"/>
    <hyperlink ref="B12" r:id="rId6"/>
    <hyperlink ref="B18" r:id="rId7"/>
    <hyperlink ref="B6" r:id="rId8"/>
    <hyperlink ref="B22" r:id="rId9"/>
    <hyperlink ref="A29" r:id="rId10"/>
    <hyperlink ref="A28" r:id="rId11"/>
    <hyperlink ref="A27" r:id="rId12"/>
    <hyperlink ref="B27" r:id="rId13"/>
    <hyperlink ref="C27" r:id="rId14"/>
    <hyperlink ref="A38:E38" r:id="rId15" display="Home &amp; Electric Vehicle Plan (TOU-D-TEV)"/>
    <hyperlink ref="A56" r:id="rId16"/>
    <hyperlink ref="B47" r:id="rId17"/>
    <hyperlink ref="A35" r:id="rId18"/>
    <hyperlink ref="A34" r:id="rId19"/>
    <hyperlink ref="A32" r:id="rId20"/>
    <hyperlink ref="C34" r:id="rId21"/>
    <hyperlink ref="C32" r:id="rId22"/>
    <hyperlink ref="A49:C49" r:id="rId23" display="TOU-EV-1 (with separate meter at customer expense)"/>
    <hyperlink ref="B64" r:id="rId24"/>
  </hyperlinks>
  <pageMargins left="0.7" right="0.7" top="0.75" bottom="0.75" header="0.3" footer="0.3"/>
  <drawing r:id="rId2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showGridLines="0" zoomScaleNormal="100" workbookViewId="0">
      <selection activeCell="R36" sqref="R36"/>
    </sheetView>
  </sheetViews>
  <sheetFormatPr defaultRowHeight="15" x14ac:dyDescent="0.25"/>
  <cols>
    <col min="1" max="1" width="21.28515625" style="4" customWidth="1"/>
    <col min="2" max="2" width="7.42578125" customWidth="1"/>
    <col min="3" max="8" width="7.7109375" customWidth="1"/>
    <col min="9" max="9" width="4.5703125" bestFit="1" customWidth="1"/>
    <col min="10" max="10" width="6.42578125" customWidth="1"/>
    <col min="11" max="11" width="5" bestFit="1" customWidth="1"/>
    <col min="12" max="15" width="4.7109375" customWidth="1"/>
    <col min="16" max="16" width="35" customWidth="1"/>
    <col min="19" max="19" width="3.7109375" bestFit="1" customWidth="1"/>
    <col min="20" max="20" width="5.5703125" style="32" customWidth="1"/>
  </cols>
  <sheetData>
    <row r="1" spans="1:20" s="4" customFormat="1" ht="15.75" x14ac:dyDescent="0.25">
      <c r="A1" s="117" t="s">
        <v>195</v>
      </c>
      <c r="B1" s="116"/>
      <c r="C1" s="116"/>
      <c r="D1" s="116"/>
      <c r="E1" s="116"/>
      <c r="F1" s="116"/>
      <c r="G1" s="116" t="s">
        <v>196</v>
      </c>
      <c r="H1" s="116"/>
      <c r="I1" s="116"/>
      <c r="J1" s="116"/>
      <c r="K1" s="116"/>
      <c r="T1" s="83"/>
    </row>
    <row r="2" spans="1:20" x14ac:dyDescent="0.25">
      <c r="G2" s="3" t="s">
        <v>101</v>
      </c>
      <c r="S2" s="60"/>
      <c r="T2"/>
    </row>
    <row r="22" spans="9:17" x14ac:dyDescent="0.25">
      <c r="K22" s="35"/>
      <c r="L22" s="35"/>
    </row>
    <row r="23" spans="9:17" x14ac:dyDescent="0.25">
      <c r="K23" s="35"/>
      <c r="L23" s="36"/>
    </row>
    <row r="24" spans="9:17" x14ac:dyDescent="0.25">
      <c r="K24" s="35"/>
      <c r="L24" s="36"/>
    </row>
    <row r="25" spans="9:17" ht="15" customHeight="1" x14ac:dyDescent="0.25">
      <c r="I25" s="86"/>
      <c r="K25" s="91"/>
      <c r="L25" s="91"/>
      <c r="M25" s="91"/>
      <c r="N25" s="91"/>
      <c r="O25" s="91"/>
      <c r="P25" s="91"/>
    </row>
    <row r="26" spans="9:17" ht="15" customHeight="1" x14ac:dyDescent="0.25">
      <c r="I26" s="86"/>
    </row>
    <row r="27" spans="9:17" x14ac:dyDescent="0.25">
      <c r="I27" s="86"/>
    </row>
    <row r="28" spans="9:17" x14ac:dyDescent="0.25">
      <c r="I28" s="86"/>
    </row>
    <row r="29" spans="9:17" x14ac:dyDescent="0.25">
      <c r="I29" s="309" t="s">
        <v>147</v>
      </c>
    </row>
    <row r="30" spans="9:17" x14ac:dyDescent="0.25">
      <c r="I30" s="309"/>
    </row>
    <row r="31" spans="9:17" x14ac:dyDescent="0.25">
      <c r="I31" s="309"/>
      <c r="Q31" s="3" t="s">
        <v>242</v>
      </c>
    </row>
    <row r="32" spans="9:17" x14ac:dyDescent="0.25">
      <c r="I32" s="309"/>
      <c r="Q32" s="3" t="s">
        <v>243</v>
      </c>
    </row>
    <row r="33" spans="1:27" x14ac:dyDescent="0.25">
      <c r="I33" s="309"/>
      <c r="Q33" s="3" t="s">
        <v>244</v>
      </c>
    </row>
    <row r="34" spans="1:27" x14ac:dyDescent="0.25">
      <c r="A34" s="110" t="s">
        <v>182</v>
      </c>
      <c r="B34" s="312" t="s">
        <v>74</v>
      </c>
      <c r="C34" s="312"/>
      <c r="D34" s="312"/>
      <c r="E34" s="312"/>
      <c r="F34" s="312"/>
      <c r="G34" s="4"/>
      <c r="R34" s="85"/>
      <c r="S34" s="85"/>
      <c r="T34" s="85"/>
      <c r="U34" s="85"/>
      <c r="V34" s="85"/>
      <c r="AA34" s="32"/>
    </row>
    <row r="35" spans="1:27" x14ac:dyDescent="0.25">
      <c r="A35" s="110" t="str">
        <f>RefCards!C12</f>
        <v>Charge Volts</v>
      </c>
      <c r="B35" s="104">
        <f>RefCards!D12</f>
        <v>120</v>
      </c>
      <c r="C35" s="104">
        <f>RefCards!E12</f>
        <v>240</v>
      </c>
      <c r="D35" s="104">
        <f>RefCards!F12</f>
        <v>240</v>
      </c>
      <c r="E35" s="104">
        <f>RefCards!G12</f>
        <v>240</v>
      </c>
      <c r="F35" s="104" t="str">
        <f>RefCards!H12</f>
        <v>SUPER</v>
      </c>
      <c r="G35" s="4"/>
      <c r="R35" t="s">
        <v>289</v>
      </c>
      <c r="T35"/>
      <c r="AA35" s="32"/>
    </row>
    <row r="36" spans="1:27" ht="15" customHeight="1" x14ac:dyDescent="0.25">
      <c r="A36" s="110" t="str">
        <f>RefCards!C13</f>
        <v>Circuit Rated Amps</v>
      </c>
      <c r="B36" s="104">
        <f>RefCards!D13</f>
        <v>15</v>
      </c>
      <c r="C36" s="104">
        <f>RefCards!E13</f>
        <v>40</v>
      </c>
      <c r="D36" s="104">
        <f>RefCards!F13</f>
        <v>50</v>
      </c>
      <c r="E36" s="104">
        <f>RefCards!G13</f>
        <v>100</v>
      </c>
      <c r="F36" s="104" t="str">
        <f>RefCards!H13</f>
        <v>CHARGE</v>
      </c>
      <c r="G36" s="4"/>
      <c r="Q36" s="4"/>
      <c r="R36" s="3" t="s">
        <v>290</v>
      </c>
      <c r="T36"/>
      <c r="AA36" s="32"/>
    </row>
    <row r="37" spans="1:27" x14ac:dyDescent="0.25">
      <c r="A37" s="110" t="str">
        <f>RefCards!C14</f>
        <v>Charge kW</v>
      </c>
      <c r="B37" s="107">
        <f>RefCards!D14</f>
        <v>1.44</v>
      </c>
      <c r="C37" s="107">
        <f>RefCards!E14</f>
        <v>7.68</v>
      </c>
      <c r="D37" s="107">
        <f>RefCards!F14</f>
        <v>9.6</v>
      </c>
      <c r="E37" s="109">
        <f>RefCards!G14</f>
        <v>19.2</v>
      </c>
      <c r="F37" s="108">
        <f>RefCards!H14</f>
        <v>90</v>
      </c>
      <c r="G37" s="61" t="s">
        <v>179</v>
      </c>
      <c r="Q37" s="4"/>
      <c r="T37"/>
      <c r="AA37" s="32"/>
    </row>
    <row r="38" spans="1:27" x14ac:dyDescent="0.25">
      <c r="A38" s="110" t="str">
        <f>RefCards!C15</f>
        <v>Charge mph ("rated")</v>
      </c>
      <c r="B38" s="107">
        <f>RefCards!D15</f>
        <v>3.9740259740259742</v>
      </c>
      <c r="C38" s="109">
        <f>RefCards!E15</f>
        <v>21.194805194805195</v>
      </c>
      <c r="D38" s="109">
        <f>RefCards!F15</f>
        <v>26.493506493506494</v>
      </c>
      <c r="E38" s="109">
        <f>RefCards!G15</f>
        <v>52.987012987012989</v>
      </c>
      <c r="F38" s="109">
        <f>RefCards!H15</f>
        <v>248.37662337662337</v>
      </c>
      <c r="G38" s="61" t="s">
        <v>187</v>
      </c>
      <c r="Q38" s="4"/>
      <c r="T38"/>
      <c r="AA38" s="32"/>
    </row>
    <row r="39" spans="1:27" x14ac:dyDescent="0.25">
      <c r="A39" s="110" t="str">
        <f>RefCards!C16</f>
        <v>Charge mph (345 Wh/mi)</v>
      </c>
      <c r="B39" s="84">
        <f>RefCards!D16</f>
        <v>3.5478260869565217</v>
      </c>
      <c r="C39" s="39">
        <f>RefCards!E16</f>
        <v>18.921739130434784</v>
      </c>
      <c r="D39" s="39">
        <f>RefCards!F16</f>
        <v>23.652173913043477</v>
      </c>
      <c r="E39" s="39">
        <f>RefCards!G16</f>
        <v>47.304347826086953</v>
      </c>
      <c r="F39" s="39">
        <f>RefCards!H16</f>
        <v>221.7391304347826</v>
      </c>
      <c r="G39" s="61" t="s">
        <v>185</v>
      </c>
      <c r="Q39" s="4"/>
      <c r="T39"/>
      <c r="AA39" s="32"/>
    </row>
    <row r="40" spans="1:27" x14ac:dyDescent="0.25">
      <c r="A40" s="110" t="str">
        <f>RefCards!C17</f>
        <v>Full Charge Hrs (82.5kWh)</v>
      </c>
      <c r="B40" s="39">
        <f>RefCards!D17</f>
        <v>67.401960784313729</v>
      </c>
      <c r="C40" s="39">
        <f>RefCards!E17</f>
        <v>12.637867647058824</v>
      </c>
      <c r="D40" s="84">
        <f>RefCards!F17</f>
        <v>10.110294117647058</v>
      </c>
      <c r="E40" s="84">
        <f>RefCards!G17</f>
        <v>5.055147058823529</v>
      </c>
      <c r="F40" s="84">
        <f>RefCards!H17</f>
        <v>1.0784313725490196</v>
      </c>
      <c r="G40" s="61" t="s">
        <v>180</v>
      </c>
      <c r="Q40" s="4"/>
      <c r="T40"/>
      <c r="AA40" s="32"/>
    </row>
    <row r="41" spans="1:27" x14ac:dyDescent="0.25">
      <c r="B41" s="61" t="s">
        <v>92</v>
      </c>
      <c r="C41" s="4"/>
      <c r="D41" s="4"/>
      <c r="E41" s="4"/>
      <c r="F41" s="4"/>
      <c r="G41" s="4"/>
      <c r="Q41" s="4"/>
      <c r="T41"/>
      <c r="AA41" s="32"/>
    </row>
    <row r="42" spans="1:27" x14ac:dyDescent="0.25">
      <c r="A42" s="311" t="s">
        <v>171</v>
      </c>
      <c r="B42" s="311"/>
      <c r="C42" s="311"/>
      <c r="D42" s="311"/>
      <c r="E42" s="311"/>
      <c r="F42" s="311"/>
      <c r="G42" s="311"/>
      <c r="S42" s="60"/>
      <c r="T42"/>
    </row>
    <row r="43" spans="1:27" x14ac:dyDescent="0.25">
      <c r="A43" s="86"/>
      <c r="B43" s="310" t="s">
        <v>146</v>
      </c>
      <c r="C43" s="310"/>
      <c r="D43" s="310"/>
      <c r="E43" s="310"/>
      <c r="F43" s="310"/>
      <c r="G43" s="86"/>
      <c r="J43" s="33" t="s">
        <v>94</v>
      </c>
    </row>
    <row r="44" spans="1:27" x14ac:dyDescent="0.25">
      <c r="A44" s="87"/>
      <c r="B44" s="88">
        <v>60</v>
      </c>
      <c r="C44" s="88">
        <v>65</v>
      </c>
      <c r="D44" s="88">
        <v>70</v>
      </c>
      <c r="E44" s="88">
        <v>75</v>
      </c>
      <c r="F44" s="88">
        <v>80</v>
      </c>
      <c r="G44" s="86"/>
      <c r="J44" s="3" t="s">
        <v>98</v>
      </c>
    </row>
    <row r="45" spans="1:27" x14ac:dyDescent="0.25">
      <c r="A45" s="90">
        <f>RefCards!C23</f>
        <v>1.44</v>
      </c>
      <c r="B45" s="89">
        <f>RefCards!D23</f>
        <v>13.725490196078431</v>
      </c>
      <c r="C45" s="89">
        <f>RefCards!E23</f>
        <v>16.454665032679742</v>
      </c>
      <c r="D45" s="89">
        <f>RefCards!F23</f>
        <v>19.361919934640525</v>
      </c>
      <c r="E45" s="89">
        <f>RefCards!G23</f>
        <v>22.698835784313729</v>
      </c>
      <c r="F45" s="89">
        <f>RefCards!H23</f>
        <v>26.504444444444445</v>
      </c>
      <c r="G45" s="92" t="s">
        <v>149</v>
      </c>
      <c r="J45" s="3" t="s">
        <v>95</v>
      </c>
    </row>
    <row r="46" spans="1:27" x14ac:dyDescent="0.25">
      <c r="A46" s="90">
        <f>RefCards!C24</f>
        <v>7.68</v>
      </c>
      <c r="B46" s="89">
        <f>RefCards!D24</f>
        <v>2.5735294117647061</v>
      </c>
      <c r="C46" s="89">
        <f>RefCards!E24</f>
        <v>3.0852496936274512</v>
      </c>
      <c r="D46" s="89">
        <f>RefCards!F24</f>
        <v>3.6303599877450985</v>
      </c>
      <c r="E46" s="89">
        <f>RefCards!G24</f>
        <v>4.2560317095588243</v>
      </c>
      <c r="F46" s="89">
        <f>RefCards!H24</f>
        <v>4.9695833333333335</v>
      </c>
      <c r="G46" s="92" t="s">
        <v>150</v>
      </c>
      <c r="J46" s="3" t="s">
        <v>99</v>
      </c>
    </row>
    <row r="47" spans="1:27" x14ac:dyDescent="0.25">
      <c r="A47" s="90">
        <f>RefCards!C25</f>
        <v>9.6</v>
      </c>
      <c r="B47" s="89">
        <f>RefCards!D25</f>
        <v>2.0588235294117645</v>
      </c>
      <c r="C47" s="89">
        <f>RefCards!E25</f>
        <v>2.4681997549019612</v>
      </c>
      <c r="D47" s="89">
        <f>RefCards!F25</f>
        <v>2.9042879901960785</v>
      </c>
      <c r="E47" s="89">
        <f>RefCards!G25</f>
        <v>3.4048253676470592</v>
      </c>
      <c r="F47" s="89">
        <f>RefCards!H25</f>
        <v>3.9756666666666671</v>
      </c>
      <c r="G47" s="92" t="s">
        <v>151</v>
      </c>
      <c r="J47" s="3" t="s">
        <v>96</v>
      </c>
    </row>
    <row r="48" spans="1:27" x14ac:dyDescent="0.25">
      <c r="A48" s="90">
        <f>RefCards!C26</f>
        <v>19.2</v>
      </c>
      <c r="B48" s="89">
        <f>RefCards!D26</f>
        <v>1.0294117647058822</v>
      </c>
      <c r="C48" s="89">
        <f>RefCards!E26</f>
        <v>1.2340998774509806</v>
      </c>
      <c r="D48" s="89">
        <f>RefCards!F26</f>
        <v>1.4521439950980393</v>
      </c>
      <c r="E48" s="89">
        <f>RefCards!G26</f>
        <v>1.7024126838235296</v>
      </c>
      <c r="F48" s="89">
        <f>RefCards!H26</f>
        <v>1.9878333333333336</v>
      </c>
      <c r="G48" s="92" t="s">
        <v>152</v>
      </c>
      <c r="J48" s="3" t="s">
        <v>100</v>
      </c>
    </row>
    <row r="49" spans="1:10" x14ac:dyDescent="0.25">
      <c r="A49" s="90">
        <f>RefCards!C27</f>
        <v>90</v>
      </c>
      <c r="B49" s="89">
        <f>RefCards!D27</f>
        <v>0.2196078431372549</v>
      </c>
      <c r="C49" s="89">
        <f>RefCards!E27</f>
        <v>0.26327464052287586</v>
      </c>
      <c r="D49" s="89">
        <f>RefCards!F27</f>
        <v>0.30979071895424837</v>
      </c>
      <c r="E49" s="89">
        <f>RefCards!G27</f>
        <v>0.36318137254901967</v>
      </c>
      <c r="F49" s="89">
        <f>RefCards!H27</f>
        <v>0.42407111111111112</v>
      </c>
      <c r="G49" s="92" t="s">
        <v>148</v>
      </c>
      <c r="J49" s="3" t="s">
        <v>97</v>
      </c>
    </row>
  </sheetData>
  <mergeCells count="4">
    <mergeCell ref="I29:I33"/>
    <mergeCell ref="B43:F43"/>
    <mergeCell ref="A42:G42"/>
    <mergeCell ref="B34:F34"/>
  </mergeCells>
  <hyperlinks>
    <hyperlink ref="J47" r:id="rId1"/>
    <hyperlink ref="J45" r:id="rId2"/>
    <hyperlink ref="J49" r:id="rId3"/>
    <hyperlink ref="J44" r:id="rId4"/>
    <hyperlink ref="J46" r:id="rId5"/>
    <hyperlink ref="J48" r:id="rId6"/>
    <hyperlink ref="G2" r:id="rId7"/>
    <hyperlink ref="Q31" r:id="rId8"/>
    <hyperlink ref="Q32" r:id="rId9"/>
    <hyperlink ref="Q33" r:id="rId10"/>
    <hyperlink ref="R36" r:id="rId11"/>
  </hyperlinks>
  <printOptions horizontalCentered="1" verticalCentered="1"/>
  <pageMargins left="0.25" right="0.25" top="0.25" bottom="0.25" header="0.3" footer="0.3"/>
  <pageSetup scale="80" orientation="landscape" r:id="rId12"/>
  <drawing r:id="rId1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showGridLines="0" workbookViewId="0">
      <selection activeCell="G37" sqref="G37"/>
    </sheetView>
  </sheetViews>
  <sheetFormatPr defaultRowHeight="15" x14ac:dyDescent="0.25"/>
  <cols>
    <col min="1" max="1" width="97.140625" style="4" customWidth="1"/>
    <col min="2" max="2" width="9.140625" style="4"/>
    <col min="3" max="7" width="18.140625" customWidth="1"/>
    <col min="8" max="8" width="18.140625" style="4" customWidth="1"/>
    <col min="9" max="9" width="10.5703125" style="4" customWidth="1"/>
    <col min="10" max="10" width="18.140625" style="4" customWidth="1"/>
  </cols>
  <sheetData>
    <row r="1" spans="2:9" s="74" customFormat="1" ht="30" x14ac:dyDescent="0.25">
      <c r="C1" s="74" t="s">
        <v>266</v>
      </c>
      <c r="D1" s="74" t="s">
        <v>175</v>
      </c>
      <c r="E1" s="290" t="s">
        <v>267</v>
      </c>
      <c r="F1" s="74" t="s">
        <v>279</v>
      </c>
      <c r="G1" s="74" t="s">
        <v>280</v>
      </c>
    </row>
    <row r="2" spans="2:9" s="4" customFormat="1" x14ac:dyDescent="0.25">
      <c r="C2" s="286">
        <v>60</v>
      </c>
      <c r="D2" s="77">
        <v>60</v>
      </c>
      <c r="E2" s="77">
        <v>208</v>
      </c>
      <c r="F2" s="37">
        <f>D2*1000/E2</f>
        <v>288.46153846153845</v>
      </c>
      <c r="G2" s="77"/>
    </row>
    <row r="3" spans="2:9" s="4" customFormat="1" x14ac:dyDescent="0.25">
      <c r="C3" s="286">
        <v>85</v>
      </c>
      <c r="D3" s="77">
        <v>85</v>
      </c>
      <c r="E3" s="77">
        <v>265</v>
      </c>
      <c r="F3" s="37">
        <f>D3*1000/E3</f>
        <v>320.75471698113205</v>
      </c>
      <c r="G3" s="77">
        <v>308</v>
      </c>
      <c r="H3" s="292">
        <f>G3*E3/1000</f>
        <v>81.62</v>
      </c>
      <c r="I3" s="291">
        <f>H3/D3</f>
        <v>0.96023529411764708</v>
      </c>
    </row>
    <row r="4" spans="2:9" s="4" customFormat="1" x14ac:dyDescent="0.25">
      <c r="C4" s="286" t="s">
        <v>268</v>
      </c>
      <c r="D4" s="77">
        <v>85</v>
      </c>
      <c r="E4" s="77">
        <f>E3</f>
        <v>265</v>
      </c>
      <c r="F4" s="37">
        <f t="shared" ref="F4:G4" si="0">F3</f>
        <v>320.75471698113205</v>
      </c>
      <c r="G4" s="77">
        <f t="shared" si="0"/>
        <v>308</v>
      </c>
    </row>
    <row r="5" spans="2:9" s="4" customFormat="1" x14ac:dyDescent="0.25">
      <c r="C5" s="286" t="s">
        <v>269</v>
      </c>
      <c r="D5" s="77">
        <v>85</v>
      </c>
      <c r="E5" s="77"/>
      <c r="F5" s="37"/>
      <c r="G5" s="77"/>
      <c r="H5" s="4" t="s">
        <v>281</v>
      </c>
    </row>
    <row r="6" spans="2:9" s="4" customFormat="1" x14ac:dyDescent="0.25">
      <c r="C6" s="286" t="s">
        <v>270</v>
      </c>
      <c r="D6" s="77">
        <v>85</v>
      </c>
      <c r="E6" s="77"/>
      <c r="F6" s="37"/>
      <c r="G6" s="77"/>
      <c r="H6" s="4" t="s">
        <v>281</v>
      </c>
    </row>
    <row r="7" spans="2:9" s="4" customFormat="1" x14ac:dyDescent="0.25"/>
    <row r="8" spans="2:9" s="4" customFormat="1" x14ac:dyDescent="0.25">
      <c r="C8" s="288" t="s">
        <v>276</v>
      </c>
      <c r="D8" s="104">
        <v>85</v>
      </c>
    </row>
    <row r="9" spans="2:9" s="4" customFormat="1" x14ac:dyDescent="0.25"/>
    <row r="10" spans="2:9" s="74" customFormat="1" ht="45" x14ac:dyDescent="0.25">
      <c r="C10" s="74" t="s">
        <v>265</v>
      </c>
      <c r="D10" s="74" t="s">
        <v>272</v>
      </c>
      <c r="E10" s="74" t="s">
        <v>274</v>
      </c>
      <c r="F10" s="74" t="s">
        <v>273</v>
      </c>
      <c r="G10" s="74" t="s">
        <v>277</v>
      </c>
      <c r="H10" s="74" t="s">
        <v>275</v>
      </c>
      <c r="I10" s="74" t="s">
        <v>282</v>
      </c>
    </row>
    <row r="11" spans="2:9" x14ac:dyDescent="0.25">
      <c r="B11" s="279" t="s">
        <v>283</v>
      </c>
      <c r="C11" s="77">
        <v>257</v>
      </c>
      <c r="D11" s="77">
        <v>0</v>
      </c>
      <c r="E11" s="289">
        <f>C11*VLOOKUP($D$8,$C$2:$G$6,5,FALSE)/1000</f>
        <v>79.156000000000006</v>
      </c>
      <c r="F11" s="77">
        <v>0</v>
      </c>
      <c r="G11" s="77"/>
      <c r="H11" s="77"/>
      <c r="I11" s="287"/>
    </row>
    <row r="12" spans="2:9" x14ac:dyDescent="0.25">
      <c r="B12" s="279" t="s">
        <v>284</v>
      </c>
      <c r="C12" s="77">
        <v>69</v>
      </c>
      <c r="D12" s="77">
        <v>148</v>
      </c>
      <c r="E12" s="289">
        <f>C12*VLOOKUP($D$8,$C$2:$G$6,5,FALSE)/1000</f>
        <v>21.251999999999999</v>
      </c>
      <c r="F12" s="299">
        <v>53.5</v>
      </c>
      <c r="G12" s="77">
        <v>349</v>
      </c>
      <c r="H12" s="289">
        <f>E13-F12</f>
        <v>4.4040000000000106</v>
      </c>
      <c r="I12" s="38">
        <f>H12/F12</f>
        <v>8.2317757009345988E-2</v>
      </c>
    </row>
    <row r="13" spans="2:9" x14ac:dyDescent="0.25">
      <c r="B13" s="295" t="s">
        <v>285</v>
      </c>
      <c r="C13" s="296">
        <f>C11-C12</f>
        <v>188</v>
      </c>
      <c r="D13" s="296">
        <f>D12-D11</f>
        <v>148</v>
      </c>
      <c r="E13" s="297">
        <f>E11-E12</f>
        <v>57.904000000000011</v>
      </c>
      <c r="F13" s="300">
        <f>F12-F11</f>
        <v>53.5</v>
      </c>
      <c r="G13" s="296"/>
      <c r="H13" s="296"/>
      <c r="I13" s="298"/>
    </row>
    <row r="14" spans="2:9" x14ac:dyDescent="0.25">
      <c r="B14" s="294"/>
      <c r="F14" s="279" t="s">
        <v>286</v>
      </c>
      <c r="G14" s="98">
        <f>E13*1000/D13</f>
        <v>391.24324324324328</v>
      </c>
      <c r="H14"/>
      <c r="I14"/>
    </row>
    <row r="15" spans="2:9" x14ac:dyDescent="0.25">
      <c r="H15"/>
      <c r="I15"/>
    </row>
    <row r="16" spans="2:9" x14ac:dyDescent="0.25">
      <c r="C16" s="3" t="s">
        <v>271</v>
      </c>
      <c r="H16"/>
      <c r="I16"/>
    </row>
    <row r="17" spans="2:9" x14ac:dyDescent="0.25">
      <c r="H17"/>
      <c r="I17"/>
    </row>
    <row r="18" spans="2:9" x14ac:dyDescent="0.25">
      <c r="C18" s="59" t="s">
        <v>278</v>
      </c>
    </row>
    <row r="19" spans="2:9" x14ac:dyDescent="0.25">
      <c r="B19" s="301"/>
    </row>
    <row r="37" spans="3:3" x14ac:dyDescent="0.25">
      <c r="C37" s="3" t="s">
        <v>287</v>
      </c>
    </row>
    <row r="38" spans="3:3" x14ac:dyDescent="0.25">
      <c r="C38" s="3" t="s">
        <v>288</v>
      </c>
    </row>
  </sheetData>
  <dataValidations count="1">
    <dataValidation type="list" allowBlank="1" showInputMessage="1" showErrorMessage="1" sqref="D8">
      <formula1>$C$2:$C$6</formula1>
    </dataValidation>
  </dataValidations>
  <hyperlinks>
    <hyperlink ref="C16" location="ElectricityCost!A1" display="NOTE: these numbers are *not* the total electricity cost - see 'ElectricityCost' sheet for analysis"/>
    <hyperlink ref="E1" r:id="rId1"/>
    <hyperlink ref="C37" r:id="rId2"/>
    <hyperlink ref="C38" r:id="rId3"/>
  </hyperlinks>
  <pageMargins left="0.7" right="0.7" top="0.75" bottom="0.75" header="0.3" footer="0.3"/>
  <pageSetup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showGridLines="0" workbookViewId="0">
      <selection activeCell="J12" sqref="J12"/>
    </sheetView>
  </sheetViews>
  <sheetFormatPr defaultRowHeight="15" x14ac:dyDescent="0.25"/>
  <cols>
    <col min="1" max="1" width="33.7109375" style="279" customWidth="1"/>
    <col min="2" max="6" width="15.7109375" style="4" customWidth="1"/>
    <col min="7" max="16384" width="9.140625" style="4"/>
  </cols>
  <sheetData>
    <row r="1" spans="1:6" x14ac:dyDescent="0.25">
      <c r="A1" s="339" t="s">
        <v>291</v>
      </c>
      <c r="B1" s="339"/>
      <c r="C1" s="339"/>
      <c r="D1" s="339"/>
      <c r="E1" s="339"/>
      <c r="F1" s="339"/>
    </row>
    <row r="3" spans="1:6" x14ac:dyDescent="0.25">
      <c r="A3" s="279" t="s">
        <v>292</v>
      </c>
      <c r="B3" s="340">
        <v>4</v>
      </c>
      <c r="C3" s="40" t="s">
        <v>293</v>
      </c>
      <c r="D3" s="37">
        <f>B3*308/24</f>
        <v>51.333333333333336</v>
      </c>
      <c r="E3" s="40" t="s">
        <v>294</v>
      </c>
    </row>
    <row r="4" spans="1:6" x14ac:dyDescent="0.25">
      <c r="A4" s="279" t="s">
        <v>295</v>
      </c>
      <c r="B4" s="341">
        <v>13</v>
      </c>
      <c r="C4" s="40" t="s">
        <v>293</v>
      </c>
      <c r="D4" s="37">
        <f>B4*308/24</f>
        <v>166.83333333333334</v>
      </c>
      <c r="E4" s="40" t="s">
        <v>294</v>
      </c>
    </row>
    <row r="5" spans="1:6" x14ac:dyDescent="0.25">
      <c r="A5" s="279" t="s">
        <v>296</v>
      </c>
      <c r="B5" s="342">
        <v>0.82</v>
      </c>
      <c r="C5" s="40" t="s">
        <v>297</v>
      </c>
    </row>
    <row r="6" spans="1:6" x14ac:dyDescent="0.25">
      <c r="A6" s="279" t="s">
        <v>298</v>
      </c>
      <c r="B6" s="341">
        <v>350</v>
      </c>
      <c r="C6" s="40" t="s">
        <v>299</v>
      </c>
    </row>
    <row r="7" spans="1:6" x14ac:dyDescent="0.25">
      <c r="A7" s="279" t="s">
        <v>300</v>
      </c>
      <c r="B7" s="341">
        <v>308</v>
      </c>
      <c r="C7" s="343" t="s">
        <v>301</v>
      </c>
    </row>
    <row r="8" spans="1:6" x14ac:dyDescent="0.25">
      <c r="B8" s="344"/>
    </row>
    <row r="9" spans="1:6" x14ac:dyDescent="0.25">
      <c r="A9" s="345" t="s">
        <v>302</v>
      </c>
      <c r="B9" s="344"/>
    </row>
    <row r="10" spans="1:6" x14ac:dyDescent="0.25">
      <c r="B10" s="346"/>
    </row>
    <row r="11" spans="1:6" ht="15.75" x14ac:dyDescent="0.25">
      <c r="A11" s="347" t="s">
        <v>303</v>
      </c>
      <c r="B11" s="346"/>
    </row>
    <row r="12" spans="1:6" x14ac:dyDescent="0.25">
      <c r="A12" s="279" t="s">
        <v>304</v>
      </c>
      <c r="B12" s="37">
        <f>D3*30*24/1000</f>
        <v>36.96</v>
      </c>
      <c r="C12" s="40" t="s">
        <v>305</v>
      </c>
    </row>
    <row r="13" spans="1:6" x14ac:dyDescent="0.25">
      <c r="A13" s="279" t="s">
        <v>306</v>
      </c>
      <c r="B13" s="37">
        <f>D4*30*24/1000</f>
        <v>120.12</v>
      </c>
      <c r="C13" s="40" t="s">
        <v>305</v>
      </c>
    </row>
    <row r="15" spans="1:6" x14ac:dyDescent="0.25">
      <c r="A15" s="59" t="s">
        <v>307</v>
      </c>
    </row>
    <row r="16" spans="1:6" x14ac:dyDescent="0.25">
      <c r="B16" s="348" t="s">
        <v>308</v>
      </c>
      <c r="C16" s="348"/>
      <c r="D16" s="348"/>
      <c r="E16" s="348"/>
      <c r="F16" s="348"/>
    </row>
    <row r="17" spans="1:7" x14ac:dyDescent="0.25">
      <c r="B17" s="104">
        <v>500</v>
      </c>
      <c r="C17" s="104">
        <v>1000</v>
      </c>
      <c r="D17" s="104">
        <v>1250</v>
      </c>
      <c r="E17" s="104">
        <v>1500</v>
      </c>
      <c r="F17" s="104">
        <v>2000</v>
      </c>
    </row>
    <row r="18" spans="1:7" x14ac:dyDescent="0.25">
      <c r="A18" s="279" t="s">
        <v>309</v>
      </c>
      <c r="B18" s="77">
        <f>B$17*$B$6/1000</f>
        <v>175</v>
      </c>
      <c r="C18" s="77">
        <f t="shared" ref="C18:F18" si="0">C$17*$B$6/1000</f>
        <v>350</v>
      </c>
      <c r="D18" s="77">
        <f t="shared" si="0"/>
        <v>437.5</v>
      </c>
      <c r="E18" s="77">
        <f t="shared" si="0"/>
        <v>525</v>
      </c>
      <c r="F18" s="77">
        <f t="shared" si="0"/>
        <v>700</v>
      </c>
      <c r="G18" s="40"/>
    </row>
    <row r="19" spans="1:7" x14ac:dyDescent="0.25">
      <c r="A19" s="279" t="s">
        <v>310</v>
      </c>
      <c r="B19" s="37">
        <f>(B18+$B$12)/$B$5</f>
        <v>258.48780487804879</v>
      </c>
      <c r="C19" s="37">
        <f t="shared" ref="C19:F19" si="1">(C18+$B$12)/$B$5</f>
        <v>471.90243902439022</v>
      </c>
      <c r="D19" s="37">
        <f t="shared" si="1"/>
        <v>578.60975609756099</v>
      </c>
      <c r="E19" s="37">
        <f t="shared" si="1"/>
        <v>685.31707317073176</v>
      </c>
      <c r="F19" s="37">
        <f t="shared" si="1"/>
        <v>898.7317073170733</v>
      </c>
    </row>
    <row r="20" spans="1:7" ht="15.75" x14ac:dyDescent="0.25">
      <c r="A20" s="349" t="s">
        <v>311</v>
      </c>
      <c r="B20" s="350">
        <f>B18/B19</f>
        <v>0.6770145310435931</v>
      </c>
      <c r="C20" s="350">
        <f t="shared" ref="C20:F20" si="2">C18/C19</f>
        <v>0.74167872648335753</v>
      </c>
      <c r="D20" s="350">
        <f t="shared" si="2"/>
        <v>0.75612275007376806</v>
      </c>
      <c r="E20" s="350">
        <f t="shared" si="2"/>
        <v>0.7660687593423019</v>
      </c>
      <c r="F20" s="350">
        <f t="shared" si="2"/>
        <v>0.77887537993920963</v>
      </c>
    </row>
    <row r="22" spans="1:7" x14ac:dyDescent="0.25">
      <c r="A22" s="59" t="s">
        <v>312</v>
      </c>
    </row>
    <row r="23" spans="1:7" x14ac:dyDescent="0.25">
      <c r="B23" s="348" t="s">
        <v>308</v>
      </c>
      <c r="C23" s="348"/>
      <c r="D23" s="348"/>
      <c r="E23" s="348"/>
      <c r="F23" s="348"/>
    </row>
    <row r="24" spans="1:7" x14ac:dyDescent="0.25">
      <c r="B24" s="286">
        <f>B17</f>
        <v>500</v>
      </c>
      <c r="C24" s="286">
        <f t="shared" ref="C24:F24" si="3">C17</f>
        <v>1000</v>
      </c>
      <c r="D24" s="286">
        <f t="shared" si="3"/>
        <v>1250</v>
      </c>
      <c r="E24" s="286">
        <f t="shared" si="3"/>
        <v>1500</v>
      </c>
      <c r="F24" s="286">
        <f t="shared" si="3"/>
        <v>2000</v>
      </c>
    </row>
    <row r="25" spans="1:7" x14ac:dyDescent="0.25">
      <c r="A25" s="279" t="s">
        <v>309</v>
      </c>
      <c r="B25" s="77">
        <f>B$24*$B$6/1000</f>
        <v>175</v>
      </c>
      <c r="C25" s="77">
        <f t="shared" ref="C25:F25" si="4">C$17*$B$6/1000</f>
        <v>350</v>
      </c>
      <c r="D25" s="77">
        <f t="shared" si="4"/>
        <v>437.5</v>
      </c>
      <c r="E25" s="77">
        <f t="shared" si="4"/>
        <v>525</v>
      </c>
      <c r="F25" s="77">
        <f t="shared" si="4"/>
        <v>700</v>
      </c>
    </row>
    <row r="26" spans="1:7" x14ac:dyDescent="0.25">
      <c r="A26" s="279" t="s">
        <v>310</v>
      </c>
      <c r="B26" s="37">
        <f>(B25+$B$13)/$B$5</f>
        <v>359.90243902439028</v>
      </c>
      <c r="C26" s="37">
        <f t="shared" ref="C26:F26" si="5">(C25+$B$13)/$B$5</f>
        <v>573.31707317073176</v>
      </c>
      <c r="D26" s="37">
        <f t="shared" si="5"/>
        <v>680.02439024390253</v>
      </c>
      <c r="E26" s="37">
        <f t="shared" si="5"/>
        <v>786.73170731707319</v>
      </c>
      <c r="F26" s="37">
        <f t="shared" si="5"/>
        <v>1000.1463414634147</v>
      </c>
    </row>
    <row r="27" spans="1:7" ht="15.75" x14ac:dyDescent="0.25">
      <c r="A27" s="349" t="s">
        <v>311</v>
      </c>
      <c r="B27" s="350">
        <f>B25/B26</f>
        <v>0.48624288425047435</v>
      </c>
      <c r="C27" s="350">
        <f t="shared" ref="C27:F27" si="6">C25/C26</f>
        <v>0.61048243001786773</v>
      </c>
      <c r="D27" s="350">
        <f t="shared" si="6"/>
        <v>0.64335927692693939</v>
      </c>
      <c r="E27" s="350">
        <f t="shared" si="6"/>
        <v>0.66731770833333337</v>
      </c>
      <c r="F27" s="350">
        <f t="shared" si="6"/>
        <v>0.69989757596449298</v>
      </c>
    </row>
  </sheetData>
  <mergeCells count="3">
    <mergeCell ref="A1:F1"/>
    <mergeCell ref="B16:F16"/>
    <mergeCell ref="B23:F23"/>
  </mergeCells>
  <printOptions horizontalCentered="1"/>
  <pageMargins left="0.25" right="0.25" top="0.75" bottom="0.75" header="0.3" footer="0.3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tabSelected="1" zoomScale="110" zoomScaleNormal="110" workbookViewId="0">
      <selection activeCell="G4" sqref="G4"/>
    </sheetView>
  </sheetViews>
  <sheetFormatPr defaultRowHeight="15" x14ac:dyDescent="0.25"/>
  <cols>
    <col min="1" max="1" width="10.42578125" style="4" customWidth="1"/>
    <col min="2" max="2" width="9.140625" style="4"/>
    <col min="3" max="3" width="7.28515625" style="4" customWidth="1"/>
    <col min="4" max="4" width="6.140625" style="4" customWidth="1"/>
    <col min="5" max="5" width="6.28515625" style="4" customWidth="1"/>
    <col min="6" max="6" width="7" style="4" customWidth="1"/>
    <col min="7" max="7" width="6.5703125" style="4" bestFit="1" customWidth="1"/>
    <col min="8" max="8" width="6.42578125" style="4" customWidth="1"/>
    <col min="9" max="9" width="5.140625" style="4" customWidth="1"/>
    <col min="10" max="10" width="8.140625" style="4" customWidth="1"/>
    <col min="11" max="11" width="7.5703125" style="4" bestFit="1" customWidth="1"/>
    <col min="12" max="12" width="7.5703125" style="4" customWidth="1"/>
    <col min="13" max="16" width="7.5703125" style="4" bestFit="1" customWidth="1"/>
    <col min="17" max="17" width="8" style="4" customWidth="1"/>
    <col min="18" max="18" width="3.140625" style="4" customWidth="1"/>
    <col min="19" max="19" width="14.5703125" style="4" customWidth="1"/>
    <col min="20" max="20" width="4.28515625" style="4" customWidth="1"/>
    <col min="21" max="21" width="6" style="4" customWidth="1"/>
    <col min="22" max="22" width="7.85546875" style="4" customWidth="1"/>
    <col min="23" max="23" width="9.42578125" style="103" customWidth="1"/>
    <col min="24" max="24" width="13.140625" style="4" customWidth="1"/>
    <col min="25" max="16384" width="9.140625" style="4"/>
  </cols>
  <sheetData>
    <row r="1" spans="1:25" ht="18.75" x14ac:dyDescent="0.3">
      <c r="A1" s="190" t="s">
        <v>199</v>
      </c>
      <c r="B1" s="168"/>
      <c r="C1" s="168"/>
      <c r="D1" s="191" t="s">
        <v>173</v>
      </c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70"/>
    </row>
    <row r="2" spans="1:25" ht="8.25" customHeight="1" x14ac:dyDescent="0.3">
      <c r="A2" s="192"/>
      <c r="B2" s="172"/>
      <c r="C2" s="172"/>
      <c r="D2" s="172"/>
      <c r="E2" s="172"/>
      <c r="F2" s="172"/>
      <c r="G2" s="172"/>
      <c r="H2" s="172"/>
      <c r="I2" s="172"/>
      <c r="J2" s="193"/>
      <c r="K2" s="172"/>
      <c r="L2" s="172"/>
      <c r="M2" s="172"/>
      <c r="N2" s="172"/>
      <c r="O2" s="172"/>
      <c r="P2" s="172"/>
      <c r="Q2" s="174"/>
    </row>
    <row r="3" spans="1:25" x14ac:dyDescent="0.25">
      <c r="A3" s="194"/>
      <c r="B3" s="175" t="s">
        <v>190</v>
      </c>
      <c r="C3" s="195" t="s">
        <v>194</v>
      </c>
      <c r="D3" s="196"/>
      <c r="E3" s="172"/>
      <c r="F3" s="197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4"/>
      <c r="R3"/>
      <c r="S3"/>
      <c r="T3"/>
      <c r="U3"/>
      <c r="V3"/>
      <c r="W3"/>
      <c r="X3"/>
    </row>
    <row r="4" spans="1:25" s="102" customFormat="1" ht="15" customHeight="1" x14ac:dyDescent="0.25">
      <c r="A4" s="203"/>
      <c r="B4" s="175" t="s">
        <v>83</v>
      </c>
      <c r="C4" s="104">
        <v>1500</v>
      </c>
      <c r="D4" s="282"/>
      <c r="E4" s="282"/>
      <c r="F4" s="282"/>
      <c r="G4" s="282"/>
      <c r="H4" s="282"/>
      <c r="I4" s="282"/>
      <c r="J4" s="175" t="s">
        <v>81</v>
      </c>
      <c r="K4" s="56">
        <v>4.0999999999999996</v>
      </c>
      <c r="L4" s="172"/>
      <c r="M4" s="172"/>
      <c r="N4" s="172"/>
      <c r="O4" s="282"/>
      <c r="P4" s="282"/>
      <c r="Q4" s="283"/>
      <c r="R4"/>
      <c r="S4"/>
      <c r="T4"/>
      <c r="U4"/>
      <c r="V4"/>
      <c r="W4"/>
      <c r="X4"/>
    </row>
    <row r="5" spans="1:25" ht="15" customHeight="1" x14ac:dyDescent="0.25">
      <c r="A5" s="171"/>
      <c r="B5" s="34" t="s">
        <v>77</v>
      </c>
      <c r="C5" s="351">
        <v>0.8</v>
      </c>
      <c r="D5" s="198" t="s">
        <v>170</v>
      </c>
      <c r="E5" s="172"/>
      <c r="F5" s="282"/>
      <c r="G5" s="172"/>
      <c r="H5" s="172"/>
      <c r="I5" s="172"/>
      <c r="J5" s="175" t="s">
        <v>82</v>
      </c>
      <c r="K5" s="55">
        <v>17</v>
      </c>
      <c r="L5" s="172"/>
      <c r="M5" s="172"/>
      <c r="N5" s="172"/>
      <c r="O5" s="172"/>
      <c r="P5" s="172"/>
      <c r="Q5" s="174"/>
      <c r="R5"/>
      <c r="S5"/>
      <c r="T5"/>
      <c r="U5"/>
      <c r="V5"/>
      <c r="W5"/>
      <c r="X5"/>
    </row>
    <row r="6" spans="1:25" x14ac:dyDescent="0.25">
      <c r="A6" s="171"/>
      <c r="B6" s="34" t="s">
        <v>203</v>
      </c>
      <c r="C6" s="352">
        <f>(30*24-C4/40)/30</f>
        <v>22.75</v>
      </c>
      <c r="D6" s="199" t="s">
        <v>205</v>
      </c>
      <c r="E6" s="172"/>
      <c r="F6" s="172"/>
      <c r="G6" s="172"/>
      <c r="H6" s="172"/>
      <c r="I6" s="172"/>
      <c r="J6" s="175" t="s">
        <v>200</v>
      </c>
      <c r="K6" s="143">
        <f>C4*K4/K5</f>
        <v>361.76470588235287</v>
      </c>
      <c r="L6" s="172"/>
      <c r="M6" s="172"/>
      <c r="N6" s="172"/>
      <c r="O6" s="172"/>
      <c r="P6" s="172"/>
      <c r="Q6" s="174"/>
      <c r="R6"/>
      <c r="S6"/>
      <c r="T6"/>
      <c r="U6"/>
      <c r="V6"/>
      <c r="W6"/>
      <c r="X6"/>
      <c r="Y6" s="208" t="s">
        <v>228</v>
      </c>
    </row>
    <row r="7" spans="1:25" x14ac:dyDescent="0.25">
      <c r="A7" s="171"/>
      <c r="B7" s="175" t="s">
        <v>204</v>
      </c>
      <c r="C7" s="353">
        <v>165</v>
      </c>
      <c r="D7" s="200" t="s">
        <v>206</v>
      </c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4"/>
      <c r="R7"/>
      <c r="S7"/>
      <c r="T7"/>
      <c r="U7"/>
      <c r="V7"/>
      <c r="W7"/>
      <c r="X7"/>
    </row>
    <row r="8" spans="1:25" ht="7.5" customHeight="1" x14ac:dyDescent="0.25">
      <c r="A8" s="171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4"/>
    </row>
    <row r="9" spans="1:25" x14ac:dyDescent="0.25">
      <c r="A9" s="171"/>
      <c r="B9" s="172"/>
      <c r="C9" s="305" t="s">
        <v>234</v>
      </c>
      <c r="D9" s="305"/>
      <c r="E9" s="305"/>
      <c r="F9" s="305"/>
      <c r="G9" s="305"/>
      <c r="H9" s="305"/>
      <c r="I9" s="172"/>
      <c r="J9" s="172"/>
      <c r="K9" s="172"/>
      <c r="L9" s="172"/>
      <c r="M9" s="172"/>
      <c r="N9" s="172"/>
      <c r="O9" s="172"/>
      <c r="P9" s="172"/>
      <c r="Q9" s="174"/>
    </row>
    <row r="10" spans="1:25" x14ac:dyDescent="0.25">
      <c r="A10" s="171"/>
      <c r="B10" s="282"/>
      <c r="C10" s="201">
        <v>275</v>
      </c>
      <c r="D10" s="201">
        <v>300</v>
      </c>
      <c r="E10" s="201">
        <v>325</v>
      </c>
      <c r="F10" s="201">
        <v>350</v>
      </c>
      <c r="G10" s="201">
        <v>375</v>
      </c>
      <c r="H10" s="201">
        <v>400</v>
      </c>
      <c r="I10" s="172"/>
      <c r="J10" s="172"/>
      <c r="K10" s="172"/>
      <c r="L10" s="172"/>
      <c r="M10" s="172"/>
      <c r="N10" s="172"/>
      <c r="O10" s="172"/>
      <c r="P10" s="172"/>
      <c r="Q10" s="174"/>
    </row>
    <row r="11" spans="1:25" ht="15.75" thickBot="1" x14ac:dyDescent="0.3">
      <c r="A11" s="171"/>
      <c r="B11" s="175" t="s">
        <v>209</v>
      </c>
      <c r="C11" s="146">
        <f>($C$4/$C$5)*C$10/1000</f>
        <v>515.625</v>
      </c>
      <c r="D11" s="146">
        <f t="shared" ref="D11:H11" si="0">($C$4/$C$5)*D$10/1000</f>
        <v>562.5</v>
      </c>
      <c r="E11" s="146">
        <f t="shared" si="0"/>
        <v>609.375</v>
      </c>
      <c r="F11" s="146">
        <f t="shared" si="0"/>
        <v>656.25</v>
      </c>
      <c r="G11" s="146">
        <f t="shared" si="0"/>
        <v>703.125</v>
      </c>
      <c r="H11" s="146">
        <f t="shared" si="0"/>
        <v>750</v>
      </c>
      <c r="I11" s="172"/>
      <c r="J11" s="172"/>
      <c r="K11" s="175" t="s">
        <v>208</v>
      </c>
      <c r="L11" s="142">
        <f>($C$7/$C$5)*C6*30/1000</f>
        <v>140.765625</v>
      </c>
      <c r="M11" s="200" t="s">
        <v>239</v>
      </c>
      <c r="N11" s="172"/>
      <c r="O11" s="172"/>
      <c r="P11" s="172"/>
      <c r="Q11" s="174"/>
    </row>
    <row r="12" spans="1:25" ht="16.5" thickBot="1" x14ac:dyDescent="0.3">
      <c r="A12" s="171"/>
      <c r="B12" s="175" t="s">
        <v>210</v>
      </c>
      <c r="C12" s="272">
        <f>C11+$L$11</f>
        <v>656.390625</v>
      </c>
      <c r="D12" s="273">
        <f t="shared" ref="D12:H12" si="1">D11+$L$11</f>
        <v>703.265625</v>
      </c>
      <c r="E12" s="147">
        <f t="shared" si="1"/>
        <v>750.140625</v>
      </c>
      <c r="F12" s="148">
        <f t="shared" si="1"/>
        <v>797.015625</v>
      </c>
      <c r="G12" s="149">
        <f t="shared" si="1"/>
        <v>843.890625</v>
      </c>
      <c r="H12" s="274">
        <f t="shared" si="1"/>
        <v>890.765625</v>
      </c>
      <c r="I12" s="172"/>
      <c r="J12" s="172"/>
      <c r="K12" s="175"/>
      <c r="L12" s="145"/>
      <c r="M12" s="172"/>
      <c r="N12" s="172"/>
      <c r="O12" s="172"/>
      <c r="P12" s="172"/>
      <c r="Q12" s="174"/>
      <c r="S12" s="167"/>
      <c r="T12" s="168"/>
      <c r="U12" s="168"/>
      <c r="V12" s="183" t="s">
        <v>220</v>
      </c>
      <c r="W12" s="169"/>
      <c r="X12" s="170"/>
    </row>
    <row r="13" spans="1:25" ht="15.75" x14ac:dyDescent="0.25">
      <c r="A13" s="171"/>
      <c r="B13" s="175" t="s">
        <v>235</v>
      </c>
      <c r="C13" s="146">
        <f>C12*1000/$C$4</f>
        <v>437.59375</v>
      </c>
      <c r="D13" s="146">
        <f t="shared" ref="D13:G13" si="2">D12*1000/$C$4</f>
        <v>468.84375</v>
      </c>
      <c r="E13" s="276">
        <f t="shared" si="2"/>
        <v>500.09375</v>
      </c>
      <c r="F13" s="276">
        <f t="shared" si="2"/>
        <v>531.34375</v>
      </c>
      <c r="G13" s="276">
        <f t="shared" si="2"/>
        <v>562.59375</v>
      </c>
      <c r="H13" s="146">
        <f>H12*1000/$C$4</f>
        <v>593.84375</v>
      </c>
      <c r="I13" s="200" t="s">
        <v>236</v>
      </c>
      <c r="J13" s="172"/>
      <c r="K13" s="175"/>
      <c r="L13" s="145"/>
      <c r="M13" s="172"/>
      <c r="N13" s="172"/>
      <c r="O13" s="172"/>
      <c r="P13" s="172"/>
      <c r="Q13" s="174"/>
      <c r="S13" s="171"/>
      <c r="T13" s="172"/>
      <c r="U13" s="172"/>
      <c r="V13" s="271"/>
      <c r="W13" s="173"/>
      <c r="X13" s="174"/>
    </row>
    <row r="14" spans="1:25" ht="15.75" x14ac:dyDescent="0.25">
      <c r="A14" s="171"/>
      <c r="B14" s="175" t="s">
        <v>237</v>
      </c>
      <c r="C14" s="275">
        <f>C10/C13</f>
        <v>0.62843676355066769</v>
      </c>
      <c r="D14" s="275">
        <f t="shared" ref="D14:H14" si="3">D10/D13</f>
        <v>0.63987202559488099</v>
      </c>
      <c r="E14" s="275">
        <f t="shared" si="3"/>
        <v>0.6498781478472786</v>
      </c>
      <c r="F14" s="275">
        <f t="shared" si="3"/>
        <v>0.65870728694936187</v>
      </c>
      <c r="G14" s="275">
        <f t="shared" si="3"/>
        <v>0.6665555740709882</v>
      </c>
      <c r="H14" s="275">
        <f t="shared" si="3"/>
        <v>0.67357785612797982</v>
      </c>
      <c r="I14" s="200" t="s">
        <v>238</v>
      </c>
      <c r="J14" s="172"/>
      <c r="K14" s="175"/>
      <c r="L14" s="145"/>
      <c r="M14" s="172"/>
      <c r="N14" s="172"/>
      <c r="O14" s="172"/>
      <c r="P14" s="172"/>
      <c r="Q14" s="174"/>
      <c r="S14" s="171"/>
      <c r="T14" s="172"/>
      <c r="U14" s="172"/>
      <c r="V14" s="271"/>
      <c r="W14" s="173"/>
      <c r="X14" s="174"/>
    </row>
    <row r="15" spans="1:25" ht="7.5" customHeight="1" x14ac:dyDescent="0.25">
      <c r="A15" s="171"/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4"/>
      <c r="S15" s="171"/>
      <c r="T15" s="172"/>
      <c r="U15" s="172"/>
      <c r="V15" s="172"/>
      <c r="W15" s="173"/>
      <c r="X15" s="174"/>
    </row>
    <row r="16" spans="1:25" ht="15.75" customHeight="1" x14ac:dyDescent="0.25">
      <c r="A16" s="171"/>
      <c r="B16" s="202" t="s">
        <v>79</v>
      </c>
      <c r="C16" s="305" t="s">
        <v>234</v>
      </c>
      <c r="D16" s="305"/>
      <c r="E16" s="305"/>
      <c r="F16" s="305"/>
      <c r="G16" s="305"/>
      <c r="H16" s="305"/>
      <c r="I16" s="172"/>
      <c r="J16" s="172"/>
      <c r="K16" s="202" t="s">
        <v>93</v>
      </c>
      <c r="L16" s="305" t="s">
        <v>234</v>
      </c>
      <c r="M16" s="305"/>
      <c r="N16" s="305"/>
      <c r="O16" s="305"/>
      <c r="P16" s="305"/>
      <c r="Q16" s="318"/>
      <c r="R16"/>
      <c r="S16" s="171"/>
      <c r="T16" s="175" t="s">
        <v>216</v>
      </c>
      <c r="U16" s="193" t="s">
        <v>227</v>
      </c>
      <c r="V16" s="172"/>
      <c r="W16" s="172"/>
      <c r="X16" s="174"/>
    </row>
    <row r="17" spans="1:24" x14ac:dyDescent="0.25">
      <c r="A17" s="203"/>
      <c r="B17" s="282"/>
      <c r="C17" s="204">
        <f>C10</f>
        <v>275</v>
      </c>
      <c r="D17" s="204">
        <f t="shared" ref="D17:H17" si="4">D10</f>
        <v>300</v>
      </c>
      <c r="E17" s="204">
        <f t="shared" si="4"/>
        <v>325</v>
      </c>
      <c r="F17" s="204">
        <f t="shared" si="4"/>
        <v>350</v>
      </c>
      <c r="G17" s="204">
        <f t="shared" si="4"/>
        <v>375</v>
      </c>
      <c r="H17" s="204">
        <f t="shared" si="4"/>
        <v>400</v>
      </c>
      <c r="I17" s="172"/>
      <c r="J17" s="282"/>
      <c r="K17" s="282"/>
      <c r="L17" s="282">
        <f t="shared" ref="L17:Q17" si="5">C29</f>
        <v>275</v>
      </c>
      <c r="M17" s="282">
        <f t="shared" si="5"/>
        <v>300</v>
      </c>
      <c r="N17" s="282">
        <f t="shared" si="5"/>
        <v>325</v>
      </c>
      <c r="O17" s="282">
        <f t="shared" si="5"/>
        <v>350</v>
      </c>
      <c r="P17" s="282">
        <f t="shared" si="5"/>
        <v>375</v>
      </c>
      <c r="Q17" s="283">
        <f t="shared" si="5"/>
        <v>400</v>
      </c>
      <c r="R17"/>
      <c r="S17" s="171"/>
      <c r="T17" s="172"/>
      <c r="U17" s="176" t="s">
        <v>211</v>
      </c>
      <c r="V17" s="176" t="s">
        <v>212</v>
      </c>
      <c r="W17" s="176" t="s">
        <v>213</v>
      </c>
      <c r="X17" s="174"/>
    </row>
    <row r="18" spans="1:24" x14ac:dyDescent="0.25">
      <c r="A18" s="317" t="s">
        <v>1</v>
      </c>
      <c r="B18" s="205">
        <v>0.09</v>
      </c>
      <c r="C18" s="94">
        <f t="shared" ref="C18:H25" si="6">L18/$C$4</f>
        <v>3.93834375E-2</v>
      </c>
      <c r="D18" s="94">
        <f t="shared" si="6"/>
        <v>4.2195937500000003E-2</v>
      </c>
      <c r="E18" s="94">
        <f t="shared" si="6"/>
        <v>4.5008437499999998E-2</v>
      </c>
      <c r="F18" s="94">
        <f t="shared" si="6"/>
        <v>4.7820937499999994E-2</v>
      </c>
      <c r="G18" s="94">
        <f t="shared" si="6"/>
        <v>5.0633437499999996E-2</v>
      </c>
      <c r="H18" s="94">
        <f t="shared" si="6"/>
        <v>5.3445937499999992E-2</v>
      </c>
      <c r="I18" s="172"/>
      <c r="J18" s="303" t="s">
        <v>1</v>
      </c>
      <c r="K18" s="178">
        <f t="shared" ref="K18:K25" si="7">B18</f>
        <v>0.09</v>
      </c>
      <c r="L18" s="259">
        <f>C$12*$K18</f>
        <v>59.075156249999999</v>
      </c>
      <c r="M18" s="259">
        <f t="shared" ref="M18:Q18" si="8">D$12*$K18</f>
        <v>63.293906249999999</v>
      </c>
      <c r="N18" s="259">
        <f t="shared" si="8"/>
        <v>67.512656249999992</v>
      </c>
      <c r="O18" s="259">
        <f t="shared" si="8"/>
        <v>71.731406249999992</v>
      </c>
      <c r="P18" s="259">
        <f t="shared" si="8"/>
        <v>75.950156249999992</v>
      </c>
      <c r="Q18" s="260">
        <f t="shared" si="8"/>
        <v>80.168906249999992</v>
      </c>
      <c r="R18"/>
      <c r="S18" s="171"/>
      <c r="T18" s="175" t="s">
        <v>214</v>
      </c>
      <c r="U18" s="153">
        <f>0.04328+0.00493+0.08751-0.00097</f>
        <v>0.13475000000000001</v>
      </c>
      <c r="V18" s="153">
        <f>0.06019+0.00493-0.00097+0.06505</f>
        <v>0.12919999999999998</v>
      </c>
      <c r="W18" s="153">
        <f>0.06186+0.00493-0.00097+0.0412</f>
        <v>0.10702</v>
      </c>
      <c r="X18" s="174"/>
    </row>
    <row r="19" spans="1:24" x14ac:dyDescent="0.25">
      <c r="A19" s="317"/>
      <c r="B19" s="205">
        <v>0.11</v>
      </c>
      <c r="C19" s="94">
        <f t="shared" si="6"/>
        <v>4.8135312499999999E-2</v>
      </c>
      <c r="D19" s="94">
        <f t="shared" si="6"/>
        <v>5.1572812499999995E-2</v>
      </c>
      <c r="E19" s="94">
        <f t="shared" si="6"/>
        <v>5.5010312499999998E-2</v>
      </c>
      <c r="F19" s="94">
        <f t="shared" si="6"/>
        <v>5.8447812499999995E-2</v>
      </c>
      <c r="G19" s="94">
        <f t="shared" si="6"/>
        <v>6.1885312499999998E-2</v>
      </c>
      <c r="H19" s="94">
        <f t="shared" si="6"/>
        <v>6.5322812499999994E-2</v>
      </c>
      <c r="I19" s="172"/>
      <c r="J19" s="303"/>
      <c r="K19" s="178">
        <f t="shared" si="7"/>
        <v>0.11</v>
      </c>
      <c r="L19" s="259">
        <f t="shared" ref="L19:L25" si="9">C$12*$K19</f>
        <v>72.202968749999997</v>
      </c>
      <c r="M19" s="259">
        <f t="shared" ref="M19:M25" si="10">D$12*$K19</f>
        <v>77.359218749999997</v>
      </c>
      <c r="N19" s="259">
        <f t="shared" ref="N19:N25" si="11">E$12*$K19</f>
        <v>82.515468749999997</v>
      </c>
      <c r="O19" s="259">
        <f t="shared" ref="O19:O25" si="12">F$12*$K19</f>
        <v>87.671718749999997</v>
      </c>
      <c r="P19" s="259">
        <f t="shared" ref="P19:P25" si="13">G$12*$K19</f>
        <v>92.827968749999997</v>
      </c>
      <c r="Q19" s="260">
        <f t="shared" ref="Q19:Q25" si="14">H$12*$K19</f>
        <v>97.984218749999997</v>
      </c>
      <c r="R19"/>
      <c r="S19" s="171"/>
      <c r="T19" s="175" t="s">
        <v>215</v>
      </c>
      <c r="U19" s="153">
        <f>0.21704+0.00493-0.00097+0.08751</f>
        <v>0.30851000000000001</v>
      </c>
      <c r="V19" s="153">
        <f>0.20765+0.00493-0.00097+0.06505</f>
        <v>0.27666000000000002</v>
      </c>
      <c r="W19" s="153">
        <f>0.14528+0.00493-0.00097+0.0412</f>
        <v>0.19044</v>
      </c>
      <c r="X19" s="174"/>
    </row>
    <row r="20" spans="1:24" ht="15.75" thickBot="1" x14ac:dyDescent="0.3">
      <c r="A20" s="317"/>
      <c r="B20" s="205">
        <v>0.13</v>
      </c>
      <c r="C20" s="94">
        <f t="shared" si="6"/>
        <v>5.6887187499999999E-2</v>
      </c>
      <c r="D20" s="94">
        <f t="shared" si="6"/>
        <v>6.0949687500000002E-2</v>
      </c>
      <c r="E20" s="132">
        <f t="shared" si="6"/>
        <v>6.5012187499999999E-2</v>
      </c>
      <c r="F20" s="132">
        <f t="shared" si="6"/>
        <v>6.9074687499999995E-2</v>
      </c>
      <c r="G20" s="132">
        <f t="shared" si="6"/>
        <v>7.3137187500000006E-2</v>
      </c>
      <c r="H20" s="94">
        <f t="shared" si="6"/>
        <v>7.7199687500000003E-2</v>
      </c>
      <c r="I20" s="172"/>
      <c r="J20" s="303"/>
      <c r="K20" s="178">
        <f t="shared" si="7"/>
        <v>0.13</v>
      </c>
      <c r="L20" s="259">
        <f t="shared" si="9"/>
        <v>85.330781250000001</v>
      </c>
      <c r="M20" s="259">
        <f t="shared" si="10"/>
        <v>91.424531250000001</v>
      </c>
      <c r="N20" s="261">
        <f t="shared" si="11"/>
        <v>97.518281250000001</v>
      </c>
      <c r="O20" s="261">
        <f t="shared" si="12"/>
        <v>103.61203125</v>
      </c>
      <c r="P20" s="261">
        <f t="shared" si="13"/>
        <v>109.70578125</v>
      </c>
      <c r="Q20" s="260">
        <f t="shared" si="14"/>
        <v>115.79953125</v>
      </c>
      <c r="R20"/>
      <c r="S20" s="171"/>
      <c r="T20" s="172"/>
      <c r="U20" s="172"/>
      <c r="V20" s="172"/>
      <c r="W20" s="172"/>
      <c r="X20" s="174"/>
    </row>
    <row r="21" spans="1:24" x14ac:dyDescent="0.25">
      <c r="A21" s="317"/>
      <c r="B21" s="205">
        <v>0.15</v>
      </c>
      <c r="C21" s="94">
        <f t="shared" si="6"/>
        <v>6.5639062499999998E-2</v>
      </c>
      <c r="D21" s="130">
        <f t="shared" si="6"/>
        <v>7.0326562499999995E-2</v>
      </c>
      <c r="E21" s="134">
        <f t="shared" si="6"/>
        <v>7.5014062499999992E-2</v>
      </c>
      <c r="F21" s="135">
        <f t="shared" si="6"/>
        <v>7.9701562499999989E-2</v>
      </c>
      <c r="G21" s="136">
        <f t="shared" si="6"/>
        <v>8.4389062500000001E-2</v>
      </c>
      <c r="H21" s="131">
        <f t="shared" si="6"/>
        <v>8.9076562499999998E-2</v>
      </c>
      <c r="I21" s="172"/>
      <c r="J21" s="303"/>
      <c r="K21" s="178">
        <f t="shared" si="7"/>
        <v>0.15</v>
      </c>
      <c r="L21" s="259">
        <f t="shared" si="9"/>
        <v>98.458593749999991</v>
      </c>
      <c r="M21" s="262">
        <f t="shared" si="10"/>
        <v>105.48984374999999</v>
      </c>
      <c r="N21" s="263">
        <f t="shared" si="11"/>
        <v>112.52109374999999</v>
      </c>
      <c r="O21" s="264">
        <f t="shared" si="12"/>
        <v>119.55234374999999</v>
      </c>
      <c r="P21" s="265">
        <f t="shared" si="13"/>
        <v>126.58359374999999</v>
      </c>
      <c r="Q21" s="293">
        <f t="shared" si="14"/>
        <v>133.61484375000001</v>
      </c>
      <c r="R21"/>
      <c r="S21" s="171"/>
      <c r="T21" s="34" t="s">
        <v>222</v>
      </c>
      <c r="U21" s="172" t="s">
        <v>229</v>
      </c>
      <c r="V21" s="172"/>
      <c r="X21" s="174"/>
    </row>
    <row r="22" spans="1:24" x14ac:dyDescent="0.25">
      <c r="A22" s="317"/>
      <c r="B22" s="205">
        <v>0.17</v>
      </c>
      <c r="C22" s="94">
        <f t="shared" si="6"/>
        <v>7.4390937500000004E-2</v>
      </c>
      <c r="D22" s="130">
        <f t="shared" si="6"/>
        <v>7.9703437500000002E-2</v>
      </c>
      <c r="E22" s="137">
        <f t="shared" si="6"/>
        <v>8.5015937500000013E-2</v>
      </c>
      <c r="F22" s="94">
        <f t="shared" si="6"/>
        <v>9.0328437500000011E-2</v>
      </c>
      <c r="G22" s="138">
        <f t="shared" si="6"/>
        <v>9.5640937500000009E-2</v>
      </c>
      <c r="H22" s="131">
        <f t="shared" si="6"/>
        <v>0.10095343750000001</v>
      </c>
      <c r="I22" s="172"/>
      <c r="J22" s="303"/>
      <c r="K22" s="178">
        <f t="shared" si="7"/>
        <v>0.17</v>
      </c>
      <c r="L22" s="259">
        <f t="shared" si="9"/>
        <v>111.58640625000001</v>
      </c>
      <c r="M22" s="262">
        <f t="shared" si="10"/>
        <v>119.55515625000001</v>
      </c>
      <c r="N22" s="266">
        <f t="shared" si="11"/>
        <v>127.52390625000001</v>
      </c>
      <c r="O22" s="259">
        <f t="shared" si="12"/>
        <v>135.49265625000001</v>
      </c>
      <c r="P22" s="260">
        <f t="shared" si="13"/>
        <v>143.46140625000001</v>
      </c>
      <c r="Q22" s="293">
        <f t="shared" si="14"/>
        <v>151.43015625000001</v>
      </c>
      <c r="S22" s="171"/>
      <c r="T22" s="172"/>
      <c r="U22" s="176" t="str">
        <f>U17</f>
        <v>OnP</v>
      </c>
      <c r="V22" s="176" t="str">
        <f>V17</f>
        <v>OfP</v>
      </c>
      <c r="W22" s="176" t="str">
        <f>W17</f>
        <v>SofP</v>
      </c>
      <c r="X22" s="174"/>
    </row>
    <row r="23" spans="1:24" ht="15" customHeight="1" thickBot="1" x14ac:dyDescent="0.3">
      <c r="A23" s="317"/>
      <c r="B23" s="205">
        <v>0.19</v>
      </c>
      <c r="C23" s="94">
        <f t="shared" si="6"/>
        <v>8.3142812499999996E-2</v>
      </c>
      <c r="D23" s="130">
        <f t="shared" si="6"/>
        <v>8.9080312500000008E-2</v>
      </c>
      <c r="E23" s="139">
        <f t="shared" si="6"/>
        <v>9.5017812500000007E-2</v>
      </c>
      <c r="F23" s="140">
        <f t="shared" si="6"/>
        <v>0.10095531250000001</v>
      </c>
      <c r="G23" s="141">
        <f t="shared" si="6"/>
        <v>0.1068928125</v>
      </c>
      <c r="H23" s="131">
        <f t="shared" si="6"/>
        <v>0.11283031250000002</v>
      </c>
      <c r="I23" s="172"/>
      <c r="J23" s="303"/>
      <c r="K23" s="178">
        <f t="shared" si="7"/>
        <v>0.19</v>
      </c>
      <c r="L23" s="259">
        <f t="shared" si="9"/>
        <v>124.71421875</v>
      </c>
      <c r="M23" s="262">
        <f t="shared" si="10"/>
        <v>133.62046875000001</v>
      </c>
      <c r="N23" s="267">
        <f t="shared" si="11"/>
        <v>142.52671875000001</v>
      </c>
      <c r="O23" s="268">
        <f t="shared" si="12"/>
        <v>151.43296875000001</v>
      </c>
      <c r="P23" s="269">
        <f t="shared" si="13"/>
        <v>160.33921875000001</v>
      </c>
      <c r="Q23" s="293">
        <f t="shared" si="14"/>
        <v>169.24546875000001</v>
      </c>
      <c r="S23" s="171"/>
      <c r="T23" s="175" t="str">
        <f>T18</f>
        <v>Winter L1</v>
      </c>
      <c r="U23" s="154">
        <v>-66</v>
      </c>
      <c r="V23" s="154">
        <v>221</v>
      </c>
      <c r="W23" s="154">
        <v>123</v>
      </c>
      <c r="X23" s="174"/>
    </row>
    <row r="24" spans="1:24" x14ac:dyDescent="0.25">
      <c r="A24" s="317"/>
      <c r="B24" s="205">
        <v>0.25</v>
      </c>
      <c r="C24" s="94">
        <f t="shared" si="6"/>
        <v>0.1093984375</v>
      </c>
      <c r="D24" s="94">
        <f t="shared" si="6"/>
        <v>0.1172109375</v>
      </c>
      <c r="E24" s="133">
        <f t="shared" si="6"/>
        <v>0.1250234375</v>
      </c>
      <c r="F24" s="133">
        <f t="shared" si="6"/>
        <v>0.1328359375</v>
      </c>
      <c r="G24" s="133">
        <f t="shared" si="6"/>
        <v>0.1406484375</v>
      </c>
      <c r="H24" s="94">
        <f t="shared" si="6"/>
        <v>0.1484609375</v>
      </c>
      <c r="I24" s="172"/>
      <c r="J24" s="303"/>
      <c r="K24" s="178">
        <f t="shared" si="7"/>
        <v>0.25</v>
      </c>
      <c r="L24" s="259">
        <f t="shared" si="9"/>
        <v>164.09765625</v>
      </c>
      <c r="M24" s="259">
        <f t="shared" si="10"/>
        <v>175.81640625</v>
      </c>
      <c r="N24" s="270">
        <f t="shared" si="11"/>
        <v>187.53515625</v>
      </c>
      <c r="O24" s="270">
        <f t="shared" si="12"/>
        <v>199.25390625</v>
      </c>
      <c r="P24" s="270">
        <f t="shared" si="13"/>
        <v>210.97265625</v>
      </c>
      <c r="Q24" s="260">
        <f t="shared" si="14"/>
        <v>222.69140625</v>
      </c>
      <c r="S24" s="171"/>
      <c r="T24" s="175" t="str">
        <f>T19</f>
        <v>Winter L2</v>
      </c>
      <c r="U24" s="154">
        <v>-181</v>
      </c>
      <c r="V24" s="154">
        <v>603</v>
      </c>
      <c r="W24" s="154">
        <v>334</v>
      </c>
      <c r="X24" s="174"/>
    </row>
    <row r="25" spans="1:24" x14ac:dyDescent="0.25">
      <c r="A25" s="317"/>
      <c r="B25" s="205">
        <v>0.3</v>
      </c>
      <c r="C25" s="94">
        <f t="shared" si="6"/>
        <v>0.131278125</v>
      </c>
      <c r="D25" s="94">
        <f t="shared" si="6"/>
        <v>0.14065312499999999</v>
      </c>
      <c r="E25" s="94">
        <f t="shared" si="6"/>
        <v>0.15002812499999998</v>
      </c>
      <c r="F25" s="94">
        <f t="shared" si="6"/>
        <v>0.15940312499999998</v>
      </c>
      <c r="G25" s="94">
        <f t="shared" si="6"/>
        <v>0.168778125</v>
      </c>
      <c r="H25" s="94">
        <f t="shared" si="6"/>
        <v>0.178153125</v>
      </c>
      <c r="I25" s="172"/>
      <c r="J25" s="303"/>
      <c r="K25" s="178">
        <f t="shared" si="7"/>
        <v>0.3</v>
      </c>
      <c r="L25" s="259">
        <f t="shared" si="9"/>
        <v>196.91718749999998</v>
      </c>
      <c r="M25" s="259">
        <f t="shared" si="10"/>
        <v>210.97968749999998</v>
      </c>
      <c r="N25" s="259">
        <f t="shared" si="11"/>
        <v>225.04218749999998</v>
      </c>
      <c r="O25" s="259">
        <f t="shared" si="12"/>
        <v>239.10468749999998</v>
      </c>
      <c r="P25" s="259">
        <f t="shared" si="13"/>
        <v>253.16718749999998</v>
      </c>
      <c r="Q25" s="260">
        <f t="shared" si="14"/>
        <v>267.22968750000001</v>
      </c>
      <c r="S25" s="171"/>
      <c r="T25" s="172"/>
      <c r="U25" s="177">
        <f>SUM(U23:U24)</f>
        <v>-247</v>
      </c>
      <c r="V25" s="177">
        <f t="shared" ref="V25:W25" si="15">SUM(V23:V24)</f>
        <v>824</v>
      </c>
      <c r="W25" s="177">
        <f t="shared" si="15"/>
        <v>457</v>
      </c>
      <c r="X25" s="184">
        <f>SUM(U25:W25)</f>
        <v>1034</v>
      </c>
    </row>
    <row r="26" spans="1:24" x14ac:dyDescent="0.25">
      <c r="A26" s="171"/>
      <c r="B26" s="172"/>
      <c r="C26" s="315" t="s">
        <v>207</v>
      </c>
      <c r="D26" s="315"/>
      <c r="E26" s="315"/>
      <c r="F26" s="315"/>
      <c r="G26" s="315"/>
      <c r="H26" s="315"/>
      <c r="I26" s="172"/>
      <c r="J26" s="206"/>
      <c r="K26" s="93"/>
      <c r="L26" s="315" t="s">
        <v>207</v>
      </c>
      <c r="M26" s="315"/>
      <c r="N26" s="315"/>
      <c r="O26" s="315"/>
      <c r="P26" s="315"/>
      <c r="Q26" s="319"/>
      <c r="S26" s="171"/>
      <c r="T26" s="172"/>
      <c r="U26" s="209" t="s">
        <v>224</v>
      </c>
      <c r="V26" s="172"/>
      <c r="W26" s="173"/>
      <c r="X26" s="189" t="s">
        <v>225</v>
      </c>
    </row>
    <row r="27" spans="1:24" x14ac:dyDescent="0.25">
      <c r="A27" s="171"/>
      <c r="B27" s="172"/>
      <c r="C27" s="200"/>
      <c r="D27" s="172"/>
      <c r="E27" s="172"/>
      <c r="F27" s="172"/>
      <c r="G27" s="172"/>
      <c r="H27" s="172"/>
      <c r="I27" s="172"/>
      <c r="J27" s="206"/>
      <c r="K27" s="93"/>
      <c r="L27" s="144"/>
      <c r="M27" s="144"/>
      <c r="N27" s="144"/>
      <c r="O27" s="144"/>
      <c r="P27" s="144"/>
      <c r="Q27" s="185"/>
      <c r="S27" s="171"/>
      <c r="T27" s="175" t="s">
        <v>217</v>
      </c>
      <c r="U27" s="150">
        <f>SUMPRODUCT(U18:U19,U23:U24)/SUM(U23:U24)</f>
        <v>0.26208020242914981</v>
      </c>
      <c r="V27" s="150">
        <f>SUMPRODUCT(V18:V19,V23:V24)/SUM(V23:V24)</f>
        <v>0.23711065533980585</v>
      </c>
      <c r="W27" s="150">
        <f>SUMPRODUCT(W18:W19,W23:W24)/SUM(W23:W24)</f>
        <v>0.16798778993435448</v>
      </c>
      <c r="X27" s="174"/>
    </row>
    <row r="28" spans="1:24" ht="15.75" customHeight="1" x14ac:dyDescent="0.25">
      <c r="A28" s="171"/>
      <c r="B28" s="202" t="s">
        <v>80</v>
      </c>
      <c r="C28" s="305" t="s">
        <v>234</v>
      </c>
      <c r="D28" s="305"/>
      <c r="E28" s="305"/>
      <c r="F28" s="305"/>
      <c r="G28" s="305"/>
      <c r="H28" s="305"/>
      <c r="I28" s="172"/>
      <c r="J28" s="172"/>
      <c r="K28" s="202" t="s">
        <v>201</v>
      </c>
      <c r="L28" s="305" t="s">
        <v>234</v>
      </c>
      <c r="M28" s="305"/>
      <c r="N28" s="305"/>
      <c r="O28" s="305"/>
      <c r="P28" s="305"/>
      <c r="Q28" s="318"/>
      <c r="S28" s="171"/>
      <c r="T28" s="172"/>
      <c r="U28" s="172"/>
      <c r="V28" s="313">
        <f>SUMPRODUCT(V25:W25,V27:W27)/SUM(V25:W25)</f>
        <v>0.21245089773614365</v>
      </c>
      <c r="W28" s="313"/>
      <c r="X28" s="174"/>
    </row>
    <row r="29" spans="1:24" x14ac:dyDescent="0.25">
      <c r="A29" s="203"/>
      <c r="B29" s="282"/>
      <c r="C29" s="282">
        <f>C17</f>
        <v>275</v>
      </c>
      <c r="D29" s="282">
        <f t="shared" ref="D29:H29" si="16">D17</f>
        <v>300</v>
      </c>
      <c r="E29" s="282">
        <f t="shared" si="16"/>
        <v>325</v>
      </c>
      <c r="F29" s="282">
        <f t="shared" si="16"/>
        <v>350</v>
      </c>
      <c r="G29" s="282">
        <f t="shared" si="16"/>
        <v>375</v>
      </c>
      <c r="H29" s="282">
        <f t="shared" si="16"/>
        <v>400</v>
      </c>
      <c r="I29" s="172"/>
      <c r="J29" s="172"/>
      <c r="K29" s="282"/>
      <c r="L29" s="282">
        <f>C17</f>
        <v>275</v>
      </c>
      <c r="M29" s="282">
        <f t="shared" ref="M29:Q29" si="17">D17</f>
        <v>300</v>
      </c>
      <c r="N29" s="282">
        <f t="shared" si="17"/>
        <v>325</v>
      </c>
      <c r="O29" s="282">
        <f t="shared" si="17"/>
        <v>350</v>
      </c>
      <c r="P29" s="282">
        <f t="shared" si="17"/>
        <v>375</v>
      </c>
      <c r="Q29" s="283">
        <f t="shared" si="17"/>
        <v>400</v>
      </c>
      <c r="S29" s="171"/>
      <c r="T29" s="175" t="s">
        <v>223</v>
      </c>
      <c r="U29" s="172"/>
      <c r="V29" s="172"/>
      <c r="W29" s="173"/>
      <c r="X29" s="174"/>
    </row>
    <row r="30" spans="1:24" x14ac:dyDescent="0.25">
      <c r="A30" s="317" t="s">
        <v>1</v>
      </c>
      <c r="B30" s="178">
        <f>B18</f>
        <v>0.09</v>
      </c>
      <c r="C30" s="38">
        <f t="shared" ref="C30:H37" si="18">L18/$K$6</f>
        <v>0.16329717987804881</v>
      </c>
      <c r="D30" s="38">
        <f t="shared" si="18"/>
        <v>0.17495876524390247</v>
      </c>
      <c r="E30" s="38">
        <f t="shared" si="18"/>
        <v>0.18662035060975612</v>
      </c>
      <c r="F30" s="38">
        <f t="shared" si="18"/>
        <v>0.19828193597560978</v>
      </c>
      <c r="G30" s="38">
        <f t="shared" si="18"/>
        <v>0.20994352134146343</v>
      </c>
      <c r="H30" s="38">
        <f t="shared" si="18"/>
        <v>0.22160510670731709</v>
      </c>
      <c r="I30" s="172"/>
      <c r="J30" s="303" t="s">
        <v>1</v>
      </c>
      <c r="K30" s="178">
        <f t="shared" ref="K30:K37" si="19">B30</f>
        <v>0.09</v>
      </c>
      <c r="L30" s="155">
        <f t="shared" ref="L30:Q37" si="20">$K$6-L18</f>
        <v>302.68954963235285</v>
      </c>
      <c r="M30" s="155">
        <f t="shared" si="20"/>
        <v>298.47079963235285</v>
      </c>
      <c r="N30" s="155">
        <f t="shared" si="20"/>
        <v>294.25204963235285</v>
      </c>
      <c r="O30" s="155">
        <f t="shared" si="20"/>
        <v>290.03329963235285</v>
      </c>
      <c r="P30" s="155">
        <f t="shared" si="20"/>
        <v>285.81454963235285</v>
      </c>
      <c r="Q30" s="162">
        <f t="shared" si="20"/>
        <v>281.59579963235285</v>
      </c>
      <c r="S30" s="171"/>
      <c r="T30" s="172"/>
      <c r="U30" s="176" t="str">
        <f>U17</f>
        <v>OnP</v>
      </c>
      <c r="V30" s="176" t="str">
        <f t="shared" ref="V30:W30" si="21">V17</f>
        <v>OfP</v>
      </c>
      <c r="W30" s="176" t="str">
        <f t="shared" si="21"/>
        <v>SofP</v>
      </c>
      <c r="X30" s="184" t="s">
        <v>226</v>
      </c>
    </row>
    <row r="31" spans="1:24" x14ac:dyDescent="0.25">
      <c r="A31" s="317"/>
      <c r="B31" s="178">
        <f t="shared" ref="B31:B37" si="22">B19</f>
        <v>0.11</v>
      </c>
      <c r="C31" s="38">
        <f t="shared" si="18"/>
        <v>0.19958544207317075</v>
      </c>
      <c r="D31" s="38">
        <f t="shared" si="18"/>
        <v>0.21383849085365858</v>
      </c>
      <c r="E31" s="38">
        <f t="shared" si="18"/>
        <v>0.22809153963414638</v>
      </c>
      <c r="F31" s="38">
        <f t="shared" si="18"/>
        <v>0.24234458841463419</v>
      </c>
      <c r="G31" s="38">
        <f t="shared" si="18"/>
        <v>0.25659763719512202</v>
      </c>
      <c r="H31" s="38">
        <f t="shared" si="18"/>
        <v>0.2708506859756098</v>
      </c>
      <c r="I31" s="172"/>
      <c r="J31" s="303"/>
      <c r="K31" s="178">
        <f t="shared" si="19"/>
        <v>0.11</v>
      </c>
      <c r="L31" s="155">
        <f t="shared" si="20"/>
        <v>289.56173713235285</v>
      </c>
      <c r="M31" s="155">
        <f t="shared" si="20"/>
        <v>284.40548713235285</v>
      </c>
      <c r="N31" s="155">
        <f t="shared" si="20"/>
        <v>279.24923713235285</v>
      </c>
      <c r="O31" s="155">
        <f t="shared" si="20"/>
        <v>274.09298713235285</v>
      </c>
      <c r="P31" s="155">
        <f t="shared" si="20"/>
        <v>268.93673713235285</v>
      </c>
      <c r="Q31" s="162">
        <f t="shared" si="20"/>
        <v>263.78048713235285</v>
      </c>
      <c r="S31" s="171"/>
      <c r="T31" s="175" t="s">
        <v>218</v>
      </c>
      <c r="U31" s="154">
        <v>0</v>
      </c>
      <c r="V31" s="154">
        <v>280</v>
      </c>
      <c r="W31" s="151">
        <f>F12-V31</f>
        <v>517.015625</v>
      </c>
      <c r="X31" s="210">
        <f>SUM(U31:W31)</f>
        <v>797.015625</v>
      </c>
    </row>
    <row r="32" spans="1:24" ht="15" customHeight="1" thickBot="1" x14ac:dyDescent="0.3">
      <c r="A32" s="317"/>
      <c r="B32" s="178">
        <f t="shared" si="22"/>
        <v>0.13</v>
      </c>
      <c r="C32" s="38">
        <f t="shared" si="18"/>
        <v>0.23587370426829274</v>
      </c>
      <c r="D32" s="38">
        <f t="shared" si="18"/>
        <v>0.25271821646341469</v>
      </c>
      <c r="E32" s="120">
        <f t="shared" si="18"/>
        <v>0.26956272865853664</v>
      </c>
      <c r="F32" s="120">
        <f t="shared" si="18"/>
        <v>0.2864072408536586</v>
      </c>
      <c r="G32" s="120">
        <f t="shared" si="18"/>
        <v>0.30325175304878055</v>
      </c>
      <c r="H32" s="38">
        <f t="shared" si="18"/>
        <v>0.3200962652439025</v>
      </c>
      <c r="I32" s="172"/>
      <c r="J32" s="303"/>
      <c r="K32" s="178">
        <f t="shared" si="19"/>
        <v>0.13</v>
      </c>
      <c r="L32" s="155">
        <f t="shared" si="20"/>
        <v>276.43392463235284</v>
      </c>
      <c r="M32" s="155">
        <f t="shared" si="20"/>
        <v>270.34017463235284</v>
      </c>
      <c r="N32" s="156">
        <f t="shared" si="20"/>
        <v>264.24642463235284</v>
      </c>
      <c r="O32" s="156">
        <f t="shared" si="20"/>
        <v>258.15267463235284</v>
      </c>
      <c r="P32" s="156">
        <f t="shared" si="20"/>
        <v>252.05892463235287</v>
      </c>
      <c r="Q32" s="162">
        <f t="shared" si="20"/>
        <v>245.96517463235287</v>
      </c>
      <c r="S32" s="171"/>
      <c r="T32" s="175" t="s">
        <v>219</v>
      </c>
      <c r="U32" s="152">
        <f>U27*U31</f>
        <v>0</v>
      </c>
      <c r="V32" s="152">
        <f>V27*V31</f>
        <v>66.390983495145633</v>
      </c>
      <c r="W32" s="152">
        <f>W27*W31</f>
        <v>86.852312205278992</v>
      </c>
      <c r="X32" s="186">
        <f>SUM(U32:W32)</f>
        <v>153.24329570042462</v>
      </c>
    </row>
    <row r="33" spans="1:24" x14ac:dyDescent="0.25">
      <c r="A33" s="317"/>
      <c r="B33" s="178">
        <f t="shared" si="22"/>
        <v>0.15</v>
      </c>
      <c r="C33" s="38">
        <f t="shared" si="18"/>
        <v>0.27216196646341467</v>
      </c>
      <c r="D33" s="118">
        <f t="shared" si="18"/>
        <v>0.29159794207317075</v>
      </c>
      <c r="E33" s="122">
        <f t="shared" si="18"/>
        <v>0.31103391768292687</v>
      </c>
      <c r="F33" s="123">
        <f t="shared" si="18"/>
        <v>0.33046989329268295</v>
      </c>
      <c r="G33" s="124">
        <f t="shared" si="18"/>
        <v>0.34990586890243908</v>
      </c>
      <c r="H33" s="119">
        <f t="shared" si="18"/>
        <v>0.36934184451219521</v>
      </c>
      <c r="I33" s="172"/>
      <c r="J33" s="303"/>
      <c r="K33" s="178">
        <f t="shared" si="19"/>
        <v>0.15</v>
      </c>
      <c r="L33" s="155">
        <f t="shared" si="20"/>
        <v>263.30611213235289</v>
      </c>
      <c r="M33" s="157">
        <f t="shared" si="20"/>
        <v>256.27486213235289</v>
      </c>
      <c r="N33" s="158">
        <f t="shared" si="20"/>
        <v>249.24361213235289</v>
      </c>
      <c r="O33" s="159">
        <f t="shared" si="20"/>
        <v>242.21236213235289</v>
      </c>
      <c r="P33" s="160">
        <f t="shared" si="20"/>
        <v>235.18111213235289</v>
      </c>
      <c r="Q33" s="207">
        <f t="shared" si="20"/>
        <v>228.14986213235287</v>
      </c>
      <c r="S33" s="171"/>
      <c r="T33" s="172"/>
      <c r="U33" s="172"/>
      <c r="V33" s="172"/>
      <c r="W33" s="173"/>
      <c r="X33" s="185"/>
    </row>
    <row r="34" spans="1:24" ht="15.75" thickBot="1" x14ac:dyDescent="0.3">
      <c r="A34" s="317"/>
      <c r="B34" s="178">
        <f t="shared" si="22"/>
        <v>0.17</v>
      </c>
      <c r="C34" s="38">
        <f t="shared" si="18"/>
        <v>0.30845022865853666</v>
      </c>
      <c r="D34" s="118">
        <f t="shared" si="18"/>
        <v>0.33047766768292691</v>
      </c>
      <c r="E34" s="125">
        <f t="shared" si="18"/>
        <v>0.35250510670731716</v>
      </c>
      <c r="F34" s="38">
        <f t="shared" si="18"/>
        <v>0.37453254573170741</v>
      </c>
      <c r="G34" s="126">
        <f t="shared" si="18"/>
        <v>0.39655998475609766</v>
      </c>
      <c r="H34" s="119">
        <f t="shared" si="18"/>
        <v>0.41858742378048791</v>
      </c>
      <c r="I34" s="172"/>
      <c r="J34" s="303"/>
      <c r="K34" s="178">
        <f t="shared" si="19"/>
        <v>0.17</v>
      </c>
      <c r="L34" s="155">
        <f t="shared" si="20"/>
        <v>250.17829963235286</v>
      </c>
      <c r="M34" s="157">
        <f t="shared" si="20"/>
        <v>242.20954963235286</v>
      </c>
      <c r="N34" s="161">
        <f t="shared" si="20"/>
        <v>234.24079963235286</v>
      </c>
      <c r="O34" s="155">
        <f t="shared" si="20"/>
        <v>226.27204963235286</v>
      </c>
      <c r="P34" s="162">
        <f t="shared" si="20"/>
        <v>218.30329963235286</v>
      </c>
      <c r="Q34" s="207">
        <f t="shared" si="20"/>
        <v>210.33454963235286</v>
      </c>
      <c r="S34" s="187">
        <f>(V19-W19)*V31</f>
        <v>24.141600000000004</v>
      </c>
      <c r="T34" s="188" t="s">
        <v>221</v>
      </c>
      <c r="U34" s="180"/>
      <c r="V34" s="180"/>
      <c r="W34" s="181"/>
      <c r="X34" s="182"/>
    </row>
    <row r="35" spans="1:24" ht="15.75" thickBot="1" x14ac:dyDescent="0.3">
      <c r="A35" s="317"/>
      <c r="B35" s="178">
        <f t="shared" si="22"/>
        <v>0.19</v>
      </c>
      <c r="C35" s="38">
        <f t="shared" si="18"/>
        <v>0.3447384908536586</v>
      </c>
      <c r="D35" s="118">
        <f t="shared" si="18"/>
        <v>0.36935739329268302</v>
      </c>
      <c r="E35" s="127">
        <f t="shared" si="18"/>
        <v>0.39397629573170745</v>
      </c>
      <c r="F35" s="128">
        <f t="shared" si="18"/>
        <v>0.41859519817073182</v>
      </c>
      <c r="G35" s="129">
        <f t="shared" si="18"/>
        <v>0.44321410060975625</v>
      </c>
      <c r="H35" s="119">
        <f t="shared" si="18"/>
        <v>0.46783300304878062</v>
      </c>
      <c r="I35" s="172"/>
      <c r="J35" s="303"/>
      <c r="K35" s="178">
        <f t="shared" si="19"/>
        <v>0.19</v>
      </c>
      <c r="L35" s="155">
        <f t="shared" si="20"/>
        <v>237.05048713235288</v>
      </c>
      <c r="M35" s="157">
        <f t="shared" si="20"/>
        <v>228.14423713235286</v>
      </c>
      <c r="N35" s="163">
        <f t="shared" si="20"/>
        <v>219.23798713235286</v>
      </c>
      <c r="O35" s="164">
        <f t="shared" si="20"/>
        <v>210.33173713235286</v>
      </c>
      <c r="P35" s="165">
        <f t="shared" si="20"/>
        <v>201.42548713235286</v>
      </c>
      <c r="Q35" s="207">
        <f t="shared" si="20"/>
        <v>192.51923713235286</v>
      </c>
      <c r="S35"/>
      <c r="T35"/>
      <c r="U35"/>
      <c r="V35"/>
      <c r="W35"/>
      <c r="X35"/>
    </row>
    <row r="36" spans="1:24" x14ac:dyDescent="0.25">
      <c r="A36" s="317"/>
      <c r="B36" s="178">
        <f t="shared" si="22"/>
        <v>0.25</v>
      </c>
      <c r="C36" s="38">
        <f t="shared" si="18"/>
        <v>0.45360327743902445</v>
      </c>
      <c r="D36" s="38">
        <f t="shared" si="18"/>
        <v>0.4859965701219513</v>
      </c>
      <c r="E36" s="121">
        <f t="shared" si="18"/>
        <v>0.5183898628048782</v>
      </c>
      <c r="F36" s="121">
        <f t="shared" si="18"/>
        <v>0.55078315548780499</v>
      </c>
      <c r="G36" s="121">
        <f t="shared" si="18"/>
        <v>0.58317644817073178</v>
      </c>
      <c r="H36" s="38">
        <f t="shared" si="18"/>
        <v>0.61556974085365868</v>
      </c>
      <c r="I36" s="172"/>
      <c r="J36" s="303"/>
      <c r="K36" s="178">
        <f t="shared" si="19"/>
        <v>0.25</v>
      </c>
      <c r="L36" s="155">
        <f t="shared" si="20"/>
        <v>197.66704963235287</v>
      </c>
      <c r="M36" s="155">
        <f t="shared" si="20"/>
        <v>185.94829963235287</v>
      </c>
      <c r="N36" s="166">
        <f t="shared" si="20"/>
        <v>174.22954963235287</v>
      </c>
      <c r="O36" s="166">
        <f t="shared" si="20"/>
        <v>162.51079963235287</v>
      </c>
      <c r="P36" s="166">
        <f t="shared" si="20"/>
        <v>150.79204963235287</v>
      </c>
      <c r="Q36" s="162">
        <f t="shared" si="20"/>
        <v>139.07329963235287</v>
      </c>
    </row>
    <row r="37" spans="1:24" x14ac:dyDescent="0.25">
      <c r="A37" s="317"/>
      <c r="B37" s="178">
        <f t="shared" si="22"/>
        <v>0.3</v>
      </c>
      <c r="C37" s="38">
        <f t="shared" si="18"/>
        <v>0.54432393292682935</v>
      </c>
      <c r="D37" s="38">
        <f t="shared" si="18"/>
        <v>0.58319588414634149</v>
      </c>
      <c r="E37" s="38">
        <f t="shared" si="18"/>
        <v>0.62206783536585375</v>
      </c>
      <c r="F37" s="38">
        <f t="shared" si="18"/>
        <v>0.6609397865853659</v>
      </c>
      <c r="G37" s="38">
        <f t="shared" si="18"/>
        <v>0.69981173780487815</v>
      </c>
      <c r="H37" s="38">
        <f t="shared" si="18"/>
        <v>0.73868368902439041</v>
      </c>
      <c r="I37" s="172"/>
      <c r="J37" s="303"/>
      <c r="K37" s="178">
        <f t="shared" si="19"/>
        <v>0.3</v>
      </c>
      <c r="L37" s="155">
        <f t="shared" si="20"/>
        <v>164.84751838235289</v>
      </c>
      <c r="M37" s="155">
        <f t="shared" si="20"/>
        <v>150.78501838235289</v>
      </c>
      <c r="N37" s="155">
        <f t="shared" si="20"/>
        <v>136.72251838235289</v>
      </c>
      <c r="O37" s="155">
        <f t="shared" si="20"/>
        <v>122.66001838235289</v>
      </c>
      <c r="P37" s="155">
        <f t="shared" si="20"/>
        <v>108.59751838235289</v>
      </c>
      <c r="Q37" s="162">
        <f t="shared" si="20"/>
        <v>94.53501838235286</v>
      </c>
    </row>
    <row r="38" spans="1:24" ht="15.75" thickBot="1" x14ac:dyDescent="0.3">
      <c r="A38" s="179"/>
      <c r="B38" s="180"/>
      <c r="C38" s="314" t="s">
        <v>207</v>
      </c>
      <c r="D38" s="314"/>
      <c r="E38" s="314"/>
      <c r="F38" s="314"/>
      <c r="G38" s="314"/>
      <c r="H38" s="314"/>
      <c r="I38" s="180"/>
      <c r="J38" s="180"/>
      <c r="K38" s="180"/>
      <c r="L38" s="314" t="s">
        <v>207</v>
      </c>
      <c r="M38" s="314"/>
      <c r="N38" s="314"/>
      <c r="O38" s="314"/>
      <c r="P38" s="314"/>
      <c r="Q38" s="316"/>
    </row>
    <row r="44" spans="1:24" x14ac:dyDescent="0.25">
      <c r="B44" s="4" t="s">
        <v>241</v>
      </c>
      <c r="C44" s="4" t="s">
        <v>240</v>
      </c>
    </row>
    <row r="45" spans="1:24" x14ac:dyDescent="0.25">
      <c r="B45" s="4">
        <v>707</v>
      </c>
      <c r="C45" s="4">
        <v>813</v>
      </c>
      <c r="D45" s="4">
        <f>B45/C45</f>
        <v>0.86961869618696186</v>
      </c>
    </row>
    <row r="46" spans="1:24" x14ac:dyDescent="0.25">
      <c r="B46" s="4">
        <v>896.8</v>
      </c>
      <c r="C46" s="4">
        <v>992</v>
      </c>
      <c r="D46" s="4">
        <f t="shared" ref="D46:D48" si="23">B46/C46</f>
        <v>0.90403225806451604</v>
      </c>
    </row>
    <row r="47" spans="1:24" x14ac:dyDescent="0.25">
      <c r="B47" s="4">
        <v>1148.9000000000001</v>
      </c>
      <c r="C47" s="4">
        <v>1371.3</v>
      </c>
      <c r="D47" s="4">
        <f t="shared" si="23"/>
        <v>0.83781812878290685</v>
      </c>
    </row>
    <row r="48" spans="1:24" x14ac:dyDescent="0.25">
      <c r="B48" s="4">
        <v>1163.2</v>
      </c>
      <c r="C48" s="4">
        <v>1348.7</v>
      </c>
      <c r="D48" s="4">
        <f t="shared" si="23"/>
        <v>0.8624601468080374</v>
      </c>
    </row>
    <row r="49" spans="1:4" x14ac:dyDescent="0.25">
      <c r="B49" s="4">
        <f>SUM(B45:B48)</f>
        <v>3915.8999999999996</v>
      </c>
      <c r="C49" s="4">
        <f>SUM(C45:C48)</f>
        <v>4525</v>
      </c>
      <c r="D49" s="4">
        <f>B49/C49</f>
        <v>0.86539226519337009</v>
      </c>
    </row>
    <row r="52" spans="1:4" x14ac:dyDescent="0.25">
      <c r="A52" s="36"/>
    </row>
  </sheetData>
  <mergeCells count="14">
    <mergeCell ref="A30:A37"/>
    <mergeCell ref="L16:Q16"/>
    <mergeCell ref="C16:H16"/>
    <mergeCell ref="A18:A25"/>
    <mergeCell ref="J18:J25"/>
    <mergeCell ref="L28:Q28"/>
    <mergeCell ref="L26:Q26"/>
    <mergeCell ref="C9:H9"/>
    <mergeCell ref="V28:W28"/>
    <mergeCell ref="C38:H38"/>
    <mergeCell ref="C26:H26"/>
    <mergeCell ref="L38:Q38"/>
    <mergeCell ref="J30:J37"/>
    <mergeCell ref="C28:H28"/>
  </mergeCells>
  <conditionalFormatting sqref="C30:H3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D5" r:id="rId1" location="comment-142882"/>
    <hyperlink ref="D1" r:id="rId2"/>
    <hyperlink ref="Y6" r:id="rId3"/>
    <hyperlink ref="U16" r:id="rId4"/>
  </hyperlinks>
  <printOptions horizontalCentered="1" verticalCentered="1"/>
  <pageMargins left="0.25" right="0.25" top="0.5" bottom="0.5" header="0.3" footer="0.3"/>
  <pageSetup scale="99" orientation="landscape" r:id="rId5"/>
  <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showGridLines="0" workbookViewId="0">
      <selection activeCell="D20" sqref="D20"/>
    </sheetView>
  </sheetViews>
  <sheetFormatPr defaultRowHeight="15" x14ac:dyDescent="0.25"/>
  <cols>
    <col min="1" max="1" width="28.42578125" customWidth="1"/>
    <col min="2" max="2" width="38.42578125" customWidth="1"/>
    <col min="3" max="3" width="34.28515625" style="103" customWidth="1"/>
  </cols>
  <sheetData>
    <row r="1" spans="1:3" x14ac:dyDescent="0.25">
      <c r="B1" s="102" t="s">
        <v>247</v>
      </c>
      <c r="C1" s="102" t="s">
        <v>257</v>
      </c>
    </row>
    <row r="2" spans="1:3" x14ac:dyDescent="0.25">
      <c r="A2" s="279" t="s">
        <v>248</v>
      </c>
      <c r="B2" s="77">
        <v>4647</v>
      </c>
      <c r="C2" s="77">
        <v>4464</v>
      </c>
    </row>
    <row r="3" spans="1:3" x14ac:dyDescent="0.25">
      <c r="A3" s="279" t="s">
        <v>249</v>
      </c>
      <c r="B3" s="77">
        <v>5710</v>
      </c>
      <c r="C3" s="77">
        <v>5710</v>
      </c>
    </row>
    <row r="4" spans="1:3" s="4" customFormat="1" ht="15.75" x14ac:dyDescent="0.25">
      <c r="A4" s="279" t="s">
        <v>253</v>
      </c>
      <c r="B4" s="278">
        <f>B3-B2</f>
        <v>1063</v>
      </c>
      <c r="C4" s="278">
        <f>C3-C2</f>
        <v>1246</v>
      </c>
    </row>
    <row r="5" spans="1:3" x14ac:dyDescent="0.25">
      <c r="A5" s="279" t="s">
        <v>250</v>
      </c>
      <c r="B5" s="77">
        <v>2813</v>
      </c>
      <c r="C5" s="77">
        <v>2813</v>
      </c>
    </row>
    <row r="6" spans="1:3" x14ac:dyDescent="0.25">
      <c r="A6" s="279" t="s">
        <v>251</v>
      </c>
      <c r="B6" s="77">
        <v>3131</v>
      </c>
      <c r="C6" s="77">
        <v>3131</v>
      </c>
    </row>
    <row r="7" spans="1:3" s="4" customFormat="1" ht="6" customHeight="1" x14ac:dyDescent="0.25">
      <c r="A7" s="279"/>
      <c r="B7" s="281"/>
      <c r="C7" s="281"/>
    </row>
    <row r="8" spans="1:3" s="4" customFormat="1" x14ac:dyDescent="0.25">
      <c r="A8" s="279" t="s">
        <v>259</v>
      </c>
      <c r="B8" s="280" t="s">
        <v>258</v>
      </c>
      <c r="C8" s="280" t="s">
        <v>261</v>
      </c>
    </row>
    <row r="9" spans="1:3" x14ac:dyDescent="0.25">
      <c r="A9" s="279" t="s">
        <v>255</v>
      </c>
      <c r="B9" s="77">
        <v>1565</v>
      </c>
      <c r="C9" s="77">
        <v>1653</v>
      </c>
    </row>
    <row r="10" spans="1:3" ht="15.75" x14ac:dyDescent="0.25">
      <c r="A10" s="279" t="s">
        <v>252</v>
      </c>
      <c r="B10" s="278">
        <f>4*B9-B2</f>
        <v>1613</v>
      </c>
      <c r="C10" s="278">
        <f>4*C9-C2</f>
        <v>2148</v>
      </c>
    </row>
    <row r="12" spans="1:3" x14ac:dyDescent="0.25">
      <c r="B12" s="40" t="s">
        <v>254</v>
      </c>
    </row>
    <row r="13" spans="1:3" x14ac:dyDescent="0.25">
      <c r="B13" s="40" t="s">
        <v>260</v>
      </c>
    </row>
    <row r="14" spans="1:3" x14ac:dyDescent="0.25">
      <c r="B14" s="3" t="s">
        <v>256</v>
      </c>
    </row>
  </sheetData>
  <hyperlinks>
    <hyperlink ref="B14" r:id="rId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showGridLines="0" workbookViewId="0">
      <selection activeCell="H15" sqref="H15"/>
    </sheetView>
  </sheetViews>
  <sheetFormatPr defaultRowHeight="15" x14ac:dyDescent="0.25"/>
  <cols>
    <col min="1" max="1" width="14.85546875" bestFit="1" customWidth="1"/>
    <col min="2" max="2" width="7.7109375" customWidth="1"/>
    <col min="3" max="3" width="9.5703125" customWidth="1"/>
    <col min="4" max="4" width="12" style="4" customWidth="1"/>
    <col min="5" max="5" width="11.5703125" customWidth="1"/>
    <col min="6" max="6" width="11.5703125" style="4" customWidth="1"/>
    <col min="7" max="7" width="11.5703125" style="4" bestFit="1" customWidth="1"/>
    <col min="8" max="8" width="28" customWidth="1"/>
    <col min="9" max="9" width="9.140625" style="73"/>
    <col min="10" max="10" width="10" style="73" bestFit="1" customWidth="1"/>
    <col min="11" max="12" width="7.7109375" bestFit="1" customWidth="1"/>
  </cols>
  <sheetData>
    <row r="1" spans="1:12" s="4" customFormat="1" x14ac:dyDescent="0.25">
      <c r="A1" s="40" t="s">
        <v>145</v>
      </c>
      <c r="I1" s="73"/>
      <c r="J1" s="73"/>
    </row>
    <row r="2" spans="1:12" s="74" customFormat="1" ht="45" x14ac:dyDescent="0.25">
      <c r="A2" s="75" t="s">
        <v>135</v>
      </c>
      <c r="B2" s="75" t="s">
        <v>136</v>
      </c>
      <c r="C2" s="75" t="s">
        <v>137</v>
      </c>
      <c r="D2" s="75" t="s">
        <v>142</v>
      </c>
      <c r="E2" s="75" t="s">
        <v>141</v>
      </c>
      <c r="F2" s="75" t="s">
        <v>158</v>
      </c>
      <c r="G2" s="75" t="s">
        <v>159</v>
      </c>
      <c r="H2" s="75" t="s">
        <v>138</v>
      </c>
      <c r="K2" s="80" t="s">
        <v>139</v>
      </c>
      <c r="L2" s="80" t="s">
        <v>140</v>
      </c>
    </row>
    <row r="3" spans="1:12" x14ac:dyDescent="0.25">
      <c r="A3" s="76">
        <v>41320.65625</v>
      </c>
      <c r="B3" s="77">
        <v>63</v>
      </c>
      <c r="C3" s="77">
        <v>121</v>
      </c>
      <c r="D3" s="77"/>
      <c r="E3" s="77"/>
      <c r="F3" s="77"/>
      <c r="G3" s="77"/>
      <c r="H3" s="78"/>
      <c r="K3" s="81"/>
      <c r="L3" s="81"/>
    </row>
    <row r="4" spans="1:12" x14ac:dyDescent="0.25">
      <c r="A4" s="76">
        <v>41320.915972222225</v>
      </c>
      <c r="B4" s="77">
        <v>48</v>
      </c>
      <c r="C4" s="77">
        <v>118</v>
      </c>
      <c r="D4" s="79">
        <f t="shared" ref="D4:D10" si="0">(C$3-C4)/L4</f>
        <v>0.48128342245509914</v>
      </c>
      <c r="E4" s="79">
        <f t="shared" ref="E4:E10" si="1">(C3-C4)/K4</f>
        <v>0.48128342245509914</v>
      </c>
      <c r="F4" s="37">
        <f>E4*300</f>
        <v>144.38502673652974</v>
      </c>
      <c r="G4" s="37">
        <f>AVERAGE(B3:B4)</f>
        <v>55.5</v>
      </c>
      <c r="H4" s="78" t="s">
        <v>144</v>
      </c>
      <c r="K4" s="82">
        <f t="shared" ref="K4:K10" si="2">24*(A4-A3)</f>
        <v>6.2333333333954215</v>
      </c>
      <c r="L4" s="82">
        <f t="shared" ref="L4:L10" si="3">24*(A4-A$3)</f>
        <v>6.2333333333954215</v>
      </c>
    </row>
    <row r="5" spans="1:12" x14ac:dyDescent="0.25">
      <c r="A5" s="76">
        <v>41321.52847222222</v>
      </c>
      <c r="B5" s="77">
        <v>64</v>
      </c>
      <c r="C5" s="77">
        <v>100</v>
      </c>
      <c r="D5" s="79">
        <f t="shared" si="0"/>
        <v>1.0031847133778418</v>
      </c>
      <c r="E5" s="79">
        <f t="shared" si="1"/>
        <v>1.2244897959270948</v>
      </c>
      <c r="F5" s="37">
        <f t="shared" ref="F5:F10" si="4">E5*300</f>
        <v>367.34693877812845</v>
      </c>
      <c r="G5" s="37">
        <f t="shared" ref="G5:G10" si="5">AVERAGE(B4:B5)</f>
        <v>56</v>
      </c>
      <c r="H5" s="78"/>
      <c r="K5" s="82">
        <f t="shared" si="2"/>
        <v>14.699999999895226</v>
      </c>
      <c r="L5" s="82">
        <f t="shared" si="3"/>
        <v>20.933333333290648</v>
      </c>
    </row>
    <row r="6" spans="1:12" x14ac:dyDescent="0.25">
      <c r="A6" s="76">
        <v>41321.68472222222</v>
      </c>
      <c r="B6" s="77">
        <v>58</v>
      </c>
      <c r="C6" s="77">
        <v>106</v>
      </c>
      <c r="D6" s="79">
        <f t="shared" si="0"/>
        <v>0.60769750168909953</v>
      </c>
      <c r="E6" s="79">
        <f t="shared" si="1"/>
        <v>-1.6</v>
      </c>
      <c r="F6" s="37">
        <f t="shared" si="4"/>
        <v>-480</v>
      </c>
      <c r="G6" s="37">
        <f t="shared" si="5"/>
        <v>61</v>
      </c>
      <c r="H6" s="78" t="s">
        <v>143</v>
      </c>
      <c r="K6" s="82">
        <f t="shared" si="2"/>
        <v>3.75</v>
      </c>
      <c r="L6" s="82">
        <f t="shared" si="3"/>
        <v>24.683333333290648</v>
      </c>
    </row>
    <row r="7" spans="1:12" x14ac:dyDescent="0.25">
      <c r="A7" s="76">
        <v>41322.894444444442</v>
      </c>
      <c r="B7" s="77">
        <v>49</v>
      </c>
      <c r="C7" s="77">
        <v>97</v>
      </c>
      <c r="D7" s="79">
        <f t="shared" si="0"/>
        <v>0.44678870617479127</v>
      </c>
      <c r="E7" s="79">
        <f t="shared" si="1"/>
        <v>0.30998851894382567</v>
      </c>
      <c r="F7" s="37">
        <f t="shared" si="4"/>
        <v>92.996555683147704</v>
      </c>
      <c r="G7" s="37">
        <f t="shared" si="5"/>
        <v>53.5</v>
      </c>
      <c r="H7" s="78"/>
      <c r="K7" s="82">
        <f t="shared" si="2"/>
        <v>29.033333333325572</v>
      </c>
      <c r="L7" s="82">
        <f t="shared" si="3"/>
        <v>53.71666666661622</v>
      </c>
    </row>
    <row r="8" spans="1:12" x14ac:dyDescent="0.25">
      <c r="A8" s="76">
        <v>41323.28125</v>
      </c>
      <c r="B8" s="77">
        <v>46</v>
      </c>
      <c r="C8" s="77">
        <v>81</v>
      </c>
      <c r="D8" s="79">
        <f t="shared" si="0"/>
        <v>0.63492063492063489</v>
      </c>
      <c r="E8" s="79">
        <f t="shared" si="1"/>
        <v>1.7235188509780668</v>
      </c>
      <c r="F8" s="37">
        <f t="shared" si="4"/>
        <v>517.05565529342005</v>
      </c>
      <c r="G8" s="37">
        <f t="shared" si="5"/>
        <v>47.5</v>
      </c>
      <c r="H8" s="78"/>
      <c r="K8" s="82">
        <f t="shared" si="2"/>
        <v>9.28333333338378</v>
      </c>
      <c r="L8" s="82">
        <f t="shared" si="3"/>
        <v>63</v>
      </c>
    </row>
    <row r="9" spans="1:12" x14ac:dyDescent="0.25">
      <c r="A9" s="76">
        <v>41323.362500000003</v>
      </c>
      <c r="B9" s="77">
        <v>54</v>
      </c>
      <c r="C9" s="77">
        <v>77</v>
      </c>
      <c r="D9" s="79">
        <f t="shared" si="0"/>
        <v>0.67744418783606897</v>
      </c>
      <c r="E9" s="79">
        <f t="shared" si="1"/>
        <v>2.0512820512085743</v>
      </c>
      <c r="F9" s="37">
        <f t="shared" si="4"/>
        <v>615.38461536257228</v>
      </c>
      <c r="G9" s="37">
        <f t="shared" si="5"/>
        <v>50</v>
      </c>
      <c r="H9" s="78"/>
      <c r="K9" s="82">
        <f t="shared" si="2"/>
        <v>1.9500000000698492</v>
      </c>
      <c r="L9" s="82">
        <f t="shared" si="3"/>
        <v>64.950000000069849</v>
      </c>
    </row>
    <row r="10" spans="1:12" x14ac:dyDescent="0.25">
      <c r="A10" s="76">
        <v>41323.615972222222</v>
      </c>
      <c r="B10" s="77">
        <v>66</v>
      </c>
      <c r="C10" s="77">
        <v>87</v>
      </c>
      <c r="D10" s="79">
        <f t="shared" si="0"/>
        <v>0.47864852182079376</v>
      </c>
      <c r="E10" s="79">
        <f t="shared" si="1"/>
        <v>-1.643835616459328</v>
      </c>
      <c r="F10" s="37">
        <f t="shared" si="4"/>
        <v>-493.15068493779842</v>
      </c>
      <c r="G10" s="37">
        <f t="shared" si="5"/>
        <v>60</v>
      </c>
      <c r="H10" s="78"/>
      <c r="K10" s="82">
        <f t="shared" si="2"/>
        <v>6.0833333332557231</v>
      </c>
      <c r="L10" s="82">
        <f t="shared" si="3"/>
        <v>71.033333333325572</v>
      </c>
    </row>
    <row r="11" spans="1:12" x14ac:dyDescent="0.25">
      <c r="B11" s="72"/>
      <c r="C11" s="72"/>
      <c r="D11" s="284">
        <f>AVERAGE(D4:D10)</f>
        <v>0.61856681261061841</v>
      </c>
      <c r="E11" s="72"/>
      <c r="F11" s="98">
        <f>300*D11</f>
        <v>185.57004378318553</v>
      </c>
      <c r="G11" s="96"/>
      <c r="H11" s="72"/>
    </row>
    <row r="12" spans="1:12" x14ac:dyDescent="0.25">
      <c r="B12" s="72"/>
      <c r="C12" s="72"/>
      <c r="D12" s="72"/>
      <c r="E12" s="72"/>
      <c r="F12" s="96"/>
      <c r="G12" s="96"/>
      <c r="H12" s="72"/>
    </row>
    <row r="13" spans="1:12" x14ac:dyDescent="0.25">
      <c r="B13" s="72"/>
      <c r="C13" s="72"/>
      <c r="D13" s="72"/>
      <c r="E13" s="72"/>
      <c r="F13" s="96"/>
      <c r="G13" s="96"/>
      <c r="H13" s="72"/>
    </row>
    <row r="14" spans="1:12" x14ac:dyDescent="0.25">
      <c r="B14" s="72"/>
      <c r="C14" s="72"/>
      <c r="D14" s="72"/>
      <c r="E14" s="72"/>
      <c r="F14" s="96"/>
      <c r="G14" s="96"/>
      <c r="H14" s="72"/>
    </row>
    <row r="15" spans="1:12" x14ac:dyDescent="0.25">
      <c r="B15" s="72"/>
      <c r="C15" s="72"/>
      <c r="D15" s="72"/>
      <c r="E15" s="97"/>
      <c r="F15" s="97"/>
      <c r="G15" s="97"/>
    </row>
    <row r="16" spans="1:12" x14ac:dyDescent="0.25">
      <c r="B16" s="72"/>
      <c r="C16" s="72"/>
      <c r="D16" s="72"/>
    </row>
    <row r="17" spans="2:7" x14ac:dyDescent="0.25">
      <c r="B17" s="72"/>
      <c r="C17" s="72"/>
      <c r="D17" s="72"/>
    </row>
    <row r="21" spans="2:7" x14ac:dyDescent="0.25">
      <c r="E21" s="95" t="s">
        <v>168</v>
      </c>
      <c r="F21" s="95" t="s">
        <v>161</v>
      </c>
      <c r="G21" s="95" t="s">
        <v>162</v>
      </c>
    </row>
    <row r="22" spans="2:7" x14ac:dyDescent="0.25">
      <c r="E22" s="96">
        <v>50</v>
      </c>
      <c r="F22" s="96">
        <v>4</v>
      </c>
      <c r="G22" s="96">
        <v>80</v>
      </c>
    </row>
    <row r="24" spans="2:7" x14ac:dyDescent="0.25">
      <c r="E24" t="s">
        <v>160</v>
      </c>
      <c r="F24" s="59" t="s">
        <v>169</v>
      </c>
    </row>
    <row r="26" spans="2:7" x14ac:dyDescent="0.25">
      <c r="B26" s="95" t="s">
        <v>163</v>
      </c>
      <c r="C26" s="95" t="s">
        <v>167</v>
      </c>
      <c r="D26" s="95" t="s">
        <v>164</v>
      </c>
      <c r="E26" s="95" t="s">
        <v>165</v>
      </c>
      <c r="F26" s="95" t="s">
        <v>166</v>
      </c>
    </row>
    <row r="27" spans="2:7" x14ac:dyDescent="0.25">
      <c r="B27" s="97">
        <v>6.2333333333954215</v>
      </c>
      <c r="C27" s="101">
        <f>(C3-C4)*300</f>
        <v>900</v>
      </c>
      <c r="D27" s="97">
        <v>55.5</v>
      </c>
      <c r="E27" s="100">
        <f>($E$22+$F$22*MAX(0,($G$22-D27)))*B27</f>
        <v>922.53333334252238</v>
      </c>
      <c r="F27" s="100">
        <f>E27-C27</f>
        <v>22.533333342522383</v>
      </c>
      <c r="G27" s="99">
        <f>F27^2</f>
        <v>507.75111152523095</v>
      </c>
    </row>
    <row r="28" spans="2:7" x14ac:dyDescent="0.25">
      <c r="B28" s="97">
        <v>14.699999999895226</v>
      </c>
      <c r="C28" s="101">
        <f>(C4-C5)*300</f>
        <v>5400</v>
      </c>
      <c r="D28" s="97">
        <v>56</v>
      </c>
      <c r="E28" s="100">
        <f t="shared" ref="E28:E32" si="6">($E$22+$F$22*MAX(0,($G$22-D28)))*B28</f>
        <v>2146.199999984703</v>
      </c>
      <c r="F28" s="100">
        <f t="shared" ref="F28:F32" si="7">E28-C28</f>
        <v>-3253.800000015297</v>
      </c>
      <c r="G28" s="99">
        <f t="shared" ref="G28:G32" si="8">F28^2</f>
        <v>10587214.440099547</v>
      </c>
    </row>
    <row r="29" spans="2:7" x14ac:dyDescent="0.25">
      <c r="B29" s="97">
        <v>3.75</v>
      </c>
      <c r="C29" s="101">
        <f t="shared" ref="C29:C32" si="9">(C5-C6)*300</f>
        <v>-1800</v>
      </c>
      <c r="D29" s="97">
        <v>61</v>
      </c>
      <c r="E29" s="100">
        <f t="shared" si="6"/>
        <v>472.5</v>
      </c>
      <c r="F29" s="100">
        <f t="shared" si="7"/>
        <v>2272.5</v>
      </c>
      <c r="G29" s="99">
        <f t="shared" si="8"/>
        <v>5164256.25</v>
      </c>
    </row>
    <row r="30" spans="2:7" x14ac:dyDescent="0.25">
      <c r="B30" s="97">
        <v>29.033333333325572</v>
      </c>
      <c r="C30" s="101">
        <f t="shared" si="9"/>
        <v>2700</v>
      </c>
      <c r="D30" s="97">
        <v>53.5</v>
      </c>
      <c r="E30" s="100">
        <f t="shared" si="6"/>
        <v>4529.1999999987893</v>
      </c>
      <c r="F30" s="100">
        <f t="shared" si="7"/>
        <v>1829.1999999987893</v>
      </c>
      <c r="G30" s="99">
        <f t="shared" si="8"/>
        <v>3345972.6399955708</v>
      </c>
    </row>
    <row r="31" spans="2:7" x14ac:dyDescent="0.25">
      <c r="B31" s="97">
        <v>9.28333333338378</v>
      </c>
      <c r="C31" s="101">
        <f t="shared" si="9"/>
        <v>4800</v>
      </c>
      <c r="D31" s="97">
        <v>47.5</v>
      </c>
      <c r="E31" s="100">
        <f t="shared" si="6"/>
        <v>1671.0000000090804</v>
      </c>
      <c r="F31" s="100">
        <f t="shared" si="7"/>
        <v>-3128.9999999909196</v>
      </c>
      <c r="G31" s="99">
        <f t="shared" si="8"/>
        <v>9790640.9999431744</v>
      </c>
    </row>
    <row r="32" spans="2:7" x14ac:dyDescent="0.25">
      <c r="B32" s="97">
        <v>1.9500000000698492</v>
      </c>
      <c r="C32" s="101">
        <f t="shared" si="9"/>
        <v>1200</v>
      </c>
      <c r="D32" s="97">
        <v>50</v>
      </c>
      <c r="E32" s="100">
        <f t="shared" si="6"/>
        <v>331.50000001187436</v>
      </c>
      <c r="F32" s="100">
        <f t="shared" si="7"/>
        <v>-868.49999998812564</v>
      </c>
      <c r="G32" s="99">
        <f t="shared" si="8"/>
        <v>754292.24997937423</v>
      </c>
    </row>
    <row r="33" spans="2:7" x14ac:dyDescent="0.25">
      <c r="B33" s="97"/>
      <c r="C33" s="101"/>
      <c r="D33" s="97"/>
      <c r="E33" s="100"/>
      <c r="F33" s="100"/>
      <c r="G33" s="99"/>
    </row>
    <row r="34" spans="2:7" x14ac:dyDescent="0.25">
      <c r="F34" s="99"/>
      <c r="G34" s="99">
        <f>SQRT(SUM(G27:G33))</f>
        <v>5444.5279254614161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"/>
  <sheetViews>
    <sheetView showGridLines="0" workbookViewId="0">
      <selection activeCell="I22" sqref="I22"/>
    </sheetView>
  </sheetViews>
  <sheetFormatPr defaultRowHeight="15" x14ac:dyDescent="0.25"/>
  <cols>
    <col min="1" max="1" width="35" style="11" customWidth="1"/>
    <col min="2" max="3" width="10" style="11" customWidth="1"/>
    <col min="4" max="4" width="11" style="11" customWidth="1"/>
    <col min="5" max="5" width="9" style="11" bestFit="1" customWidth="1"/>
    <col min="6" max="6" width="8.5703125" style="11" customWidth="1"/>
    <col min="7" max="7" width="10.5703125" style="11" customWidth="1"/>
    <col min="8" max="8" width="6.28515625" style="11" customWidth="1"/>
    <col min="9" max="9" width="23.85546875" style="11" customWidth="1"/>
    <col min="10" max="10" width="13.42578125" style="11" customWidth="1"/>
    <col min="11" max="11" width="10.28515625" style="11" customWidth="1"/>
    <col min="12" max="12" width="10.85546875" style="11" customWidth="1"/>
    <col min="13" max="13" width="12.28515625" style="11" customWidth="1"/>
    <col min="14" max="17" width="9.140625" style="11"/>
    <col min="18" max="18" width="10" style="11" bestFit="1" customWidth="1"/>
    <col min="19" max="16384" width="9.140625" style="11"/>
  </cols>
  <sheetData>
    <row r="1" spans="1:8" ht="31.5" x14ac:dyDescent="0.25">
      <c r="A1" s="62" t="s">
        <v>156</v>
      </c>
    </row>
    <row r="2" spans="1:8" x14ac:dyDescent="0.25">
      <c r="A2" s="323" t="s">
        <v>104</v>
      </c>
      <c r="B2" s="323"/>
      <c r="C2" s="323"/>
      <c r="D2" s="323"/>
      <c r="E2" s="323"/>
      <c r="F2" s="323"/>
    </row>
    <row r="3" spans="1:8" x14ac:dyDescent="0.25">
      <c r="A3" s="57"/>
      <c r="B3" s="57"/>
      <c r="C3" s="57"/>
      <c r="D3" s="57"/>
      <c r="E3" s="57"/>
      <c r="F3" s="57"/>
    </row>
    <row r="4" spans="1:8" x14ac:dyDescent="0.25">
      <c r="A4" s="8" t="s">
        <v>0</v>
      </c>
      <c r="B4" s="9">
        <v>85</v>
      </c>
      <c r="C4" s="10"/>
      <c r="D4" s="42" t="s">
        <v>88</v>
      </c>
      <c r="E4" s="42" t="s">
        <v>89</v>
      </c>
      <c r="F4" s="58" t="s">
        <v>110</v>
      </c>
    </row>
    <row r="5" spans="1:8" ht="18" customHeight="1" x14ac:dyDescent="0.25">
      <c r="A5" s="8" t="s">
        <v>86</v>
      </c>
      <c r="B5" s="51">
        <v>0.34499999999999997</v>
      </c>
      <c r="D5" s="17">
        <v>800</v>
      </c>
      <c r="E5" s="18">
        <f>D5*$B$5/$B$6</f>
        <v>324.70588235294116</v>
      </c>
      <c r="F5" s="18">
        <f>E5*$B$14</f>
        <v>48.705882352941174</v>
      </c>
    </row>
    <row r="6" spans="1:8" ht="18" customHeight="1" x14ac:dyDescent="0.25">
      <c r="A6" s="8" t="s">
        <v>87</v>
      </c>
      <c r="B6" s="51">
        <v>0.85</v>
      </c>
      <c r="D6" s="17">
        <v>1000</v>
      </c>
      <c r="E6" s="18">
        <f>D6*$B$5/$B$6</f>
        <v>405.88235294117646</v>
      </c>
      <c r="F6" s="18">
        <f t="shared" ref="F6:F7" si="0">E6*$B$14</f>
        <v>60.882352941176464</v>
      </c>
    </row>
    <row r="7" spans="1:8" x14ac:dyDescent="0.25">
      <c r="A7" s="8" t="s">
        <v>46</v>
      </c>
      <c r="B7" s="14">
        <v>4.25</v>
      </c>
      <c r="C7" s="13"/>
      <c r="D7" s="17">
        <v>1500</v>
      </c>
      <c r="E7" s="18">
        <f>D7*$B$5/$B$6</f>
        <v>608.82352941176475</v>
      </c>
      <c r="F7" s="18">
        <f t="shared" si="0"/>
        <v>91.32352941176471</v>
      </c>
    </row>
    <row r="8" spans="1:8" x14ac:dyDescent="0.25">
      <c r="A8" s="4"/>
      <c r="B8" s="4"/>
      <c r="C8" s="4"/>
      <c r="D8" s="4"/>
      <c r="E8" s="4"/>
      <c r="F8" s="4"/>
      <c r="G8" s="15"/>
      <c r="H8" s="15"/>
    </row>
    <row r="9" spans="1:8" s="19" customFormat="1" ht="45" x14ac:dyDescent="0.25">
      <c r="A9" s="42" t="s">
        <v>109</v>
      </c>
      <c r="B9" s="42" t="s">
        <v>1</v>
      </c>
      <c r="C9" s="42" t="s">
        <v>2</v>
      </c>
      <c r="D9" s="42" t="s">
        <v>3</v>
      </c>
      <c r="E9" s="42" t="s">
        <v>90</v>
      </c>
      <c r="F9" s="42" t="s">
        <v>105</v>
      </c>
    </row>
    <row r="10" spans="1:8" x14ac:dyDescent="0.25">
      <c r="A10" s="67" t="s">
        <v>31</v>
      </c>
      <c r="B10" s="68">
        <v>0.15</v>
      </c>
      <c r="C10" s="69">
        <f>B10*$B$4/$B$6</f>
        <v>15</v>
      </c>
      <c r="D10" s="69">
        <f>$B$5*B10/$B$6</f>
        <v>6.0882352941176471E-2</v>
      </c>
      <c r="E10" s="70">
        <f>IF(D10&gt;0,$B$7/D10,"")</f>
        <v>69.806763285024161</v>
      </c>
      <c r="F10" s="71">
        <f>$E$6*B10</f>
        <v>60.882352941176464</v>
      </c>
    </row>
    <row r="11" spans="1:8" x14ac:dyDescent="0.25">
      <c r="A11" s="67" t="s">
        <v>4</v>
      </c>
      <c r="B11" s="68">
        <v>0.24</v>
      </c>
      <c r="C11" s="69">
        <f>B11*$B$4/$B$6</f>
        <v>24</v>
      </c>
      <c r="D11" s="69">
        <f>$B$5*B11/$B$6</f>
        <v>9.7411764705882337E-2</v>
      </c>
      <c r="E11" s="70">
        <f>IF(D11&gt;0,$B$7/D11,"")</f>
        <v>43.629227053140106</v>
      </c>
      <c r="F11" s="71">
        <f>$E$6*B11</f>
        <v>97.411764705882348</v>
      </c>
    </row>
    <row r="12" spans="1:8" x14ac:dyDescent="0.25">
      <c r="A12" s="67" t="s">
        <v>30</v>
      </c>
      <c r="B12" s="68">
        <v>0.12</v>
      </c>
      <c r="C12" s="69">
        <f>B12*$B$4/$B$6</f>
        <v>12</v>
      </c>
      <c r="D12" s="69">
        <f>$B$5*B12/$B$6</f>
        <v>4.8705882352941168E-2</v>
      </c>
      <c r="E12" s="70">
        <f>IF(D12&gt;0,$B$7/D12,"")</f>
        <v>87.258454106280212</v>
      </c>
      <c r="F12" s="71">
        <f>$E$6*B12</f>
        <v>48.705882352941174</v>
      </c>
    </row>
    <row r="13" spans="1:8" x14ac:dyDescent="0.25">
      <c r="A13" s="67" t="s">
        <v>45</v>
      </c>
      <c r="B13" s="68">
        <v>0.17</v>
      </c>
      <c r="C13" s="69">
        <f>B13*$B$4/$B$6</f>
        <v>17</v>
      </c>
      <c r="D13" s="69">
        <f>$B$5*B13/$B$6</f>
        <v>6.9000000000000006E-2</v>
      </c>
      <c r="E13" s="70">
        <f>IF(D13&gt;0,$B$7/D13,"")</f>
        <v>61.594202898550719</v>
      </c>
      <c r="F13" s="71">
        <f>$E$6*B13</f>
        <v>69</v>
      </c>
    </row>
    <row r="14" spans="1:8" x14ac:dyDescent="0.25">
      <c r="A14" s="16" t="s">
        <v>91</v>
      </c>
      <c r="B14" s="20">
        <v>0.15</v>
      </c>
      <c r="C14" s="21">
        <f>B14*$B$4/$B$6</f>
        <v>15</v>
      </c>
      <c r="D14" s="21">
        <f>$B$5*B14/$B$6</f>
        <v>6.0882352941176471E-2</v>
      </c>
      <c r="E14" s="52">
        <f>IF(D14&gt;0,$B$7/D14,"")</f>
        <v>69.806763285024161</v>
      </c>
      <c r="F14" s="53">
        <f>$E$6*B14</f>
        <v>60.882352941176464</v>
      </c>
      <c r="G14" s="285" t="s">
        <v>264</v>
      </c>
    </row>
    <row r="16" spans="1:8" x14ac:dyDescent="0.25">
      <c r="A16" s="16" t="s">
        <v>103</v>
      </c>
      <c r="B16" s="66">
        <v>20</v>
      </c>
      <c r="C16" s="321" t="s">
        <v>42</v>
      </c>
      <c r="D16" s="322"/>
      <c r="E16" s="27">
        <f>B7/B16</f>
        <v>0.21249999999999999</v>
      </c>
    </row>
    <row r="17" spans="1:7" x14ac:dyDescent="0.25">
      <c r="A17" s="16" t="s">
        <v>106</v>
      </c>
      <c r="B17" s="25">
        <v>120000</v>
      </c>
    </row>
    <row r="18" spans="1:7" x14ac:dyDescent="0.25">
      <c r="A18" s="16" t="s">
        <v>108</v>
      </c>
      <c r="B18" s="25">
        <v>10</v>
      </c>
    </row>
    <row r="20" spans="1:7" x14ac:dyDescent="0.25">
      <c r="A20" s="26" t="s">
        <v>36</v>
      </c>
      <c r="B20" s="324" t="s">
        <v>39</v>
      </c>
      <c r="C20" s="324"/>
      <c r="D20" s="324"/>
      <c r="E20" s="324" t="s">
        <v>40</v>
      </c>
      <c r="F20" s="324"/>
      <c r="G20" s="324"/>
    </row>
    <row r="21" spans="1:7" x14ac:dyDescent="0.25">
      <c r="B21" s="42" t="s">
        <v>37</v>
      </c>
      <c r="C21" s="42" t="s">
        <v>38</v>
      </c>
      <c r="D21" s="42" t="s">
        <v>41</v>
      </c>
      <c r="E21" s="42" t="s">
        <v>37</v>
      </c>
      <c r="F21" s="42" t="s">
        <v>38</v>
      </c>
      <c r="G21" s="42" t="s">
        <v>41</v>
      </c>
    </row>
    <row r="22" spans="1:7" x14ac:dyDescent="0.25">
      <c r="A22" s="8" t="s">
        <v>32</v>
      </c>
      <c r="B22" s="63">
        <v>40</v>
      </c>
      <c r="C22" s="64">
        <v>3750</v>
      </c>
      <c r="D22" s="29">
        <f t="shared" ref="D22:D28" si="1">IF(C22&gt;0,$B$17/C22,0)</f>
        <v>32</v>
      </c>
      <c r="E22" s="63">
        <v>0</v>
      </c>
      <c r="F22" s="64">
        <v>0</v>
      </c>
      <c r="G22" s="29">
        <f t="shared" ref="G22:G28" si="2">IF(F22&gt;0,$B$17/F22,0)</f>
        <v>0</v>
      </c>
    </row>
    <row r="23" spans="1:7" x14ac:dyDescent="0.25">
      <c r="A23" s="8" t="s">
        <v>33</v>
      </c>
      <c r="B23" s="63">
        <v>300</v>
      </c>
      <c r="C23" s="64">
        <v>30000</v>
      </c>
      <c r="D23" s="29">
        <f t="shared" si="1"/>
        <v>4</v>
      </c>
      <c r="E23" s="63">
        <v>0</v>
      </c>
      <c r="F23" s="64">
        <v>0</v>
      </c>
      <c r="G23" s="29">
        <f t="shared" si="2"/>
        <v>0</v>
      </c>
    </row>
    <row r="24" spans="1:7" x14ac:dyDescent="0.25">
      <c r="A24" s="8" t="s">
        <v>34</v>
      </c>
      <c r="B24" s="63">
        <v>600</v>
      </c>
      <c r="C24" s="64">
        <v>60000</v>
      </c>
      <c r="D24" s="29">
        <f t="shared" si="1"/>
        <v>2</v>
      </c>
      <c r="E24" s="63">
        <v>0</v>
      </c>
      <c r="F24" s="64">
        <v>0</v>
      </c>
      <c r="G24" s="29">
        <f t="shared" si="2"/>
        <v>0</v>
      </c>
    </row>
    <row r="25" spans="1:7" x14ac:dyDescent="0.25">
      <c r="A25" s="8" t="s">
        <v>35</v>
      </c>
      <c r="B25" s="63">
        <v>250</v>
      </c>
      <c r="C25" s="64">
        <v>30000</v>
      </c>
      <c r="D25" s="29">
        <f t="shared" si="1"/>
        <v>4</v>
      </c>
      <c r="E25" s="63">
        <v>400</v>
      </c>
      <c r="F25" s="64">
        <v>125000</v>
      </c>
      <c r="G25" s="29">
        <f t="shared" si="2"/>
        <v>0.96</v>
      </c>
    </row>
    <row r="26" spans="1:7" x14ac:dyDescent="0.25">
      <c r="A26" s="8" t="s">
        <v>107</v>
      </c>
      <c r="B26" s="63">
        <v>1200</v>
      </c>
      <c r="C26" s="22">
        <v>50000</v>
      </c>
      <c r="D26" s="29">
        <f t="shared" si="1"/>
        <v>2.4</v>
      </c>
      <c r="E26" s="63">
        <v>600</v>
      </c>
      <c r="F26" s="22">
        <f>B17/B18</f>
        <v>12000</v>
      </c>
      <c r="G26" s="29">
        <f t="shared" si="2"/>
        <v>10</v>
      </c>
    </row>
    <row r="27" spans="1:7" x14ac:dyDescent="0.25">
      <c r="A27" s="8" t="s">
        <v>157</v>
      </c>
      <c r="B27" s="30">
        <f>E16</f>
        <v>0.21249999999999999</v>
      </c>
      <c r="C27" s="22">
        <v>1</v>
      </c>
      <c r="D27" s="22">
        <f t="shared" si="1"/>
        <v>120000</v>
      </c>
      <c r="E27" s="30">
        <f>D14</f>
        <v>6.0882352941176471E-2</v>
      </c>
      <c r="F27" s="22">
        <v>1</v>
      </c>
      <c r="G27" s="22">
        <f t="shared" si="2"/>
        <v>120000</v>
      </c>
    </row>
    <row r="28" spans="1:7" ht="13.5" customHeight="1" x14ac:dyDescent="0.25">
      <c r="A28" s="8"/>
      <c r="B28" s="28"/>
      <c r="C28" s="22"/>
      <c r="D28" s="29">
        <f t="shared" si="1"/>
        <v>0</v>
      </c>
      <c r="E28" s="28"/>
      <c r="F28" s="22"/>
      <c r="G28" s="29">
        <f t="shared" si="2"/>
        <v>0</v>
      </c>
    </row>
    <row r="29" spans="1:7" x14ac:dyDescent="0.25">
      <c r="A29" s="8" t="s">
        <v>43</v>
      </c>
      <c r="B29" s="31">
        <f>SUMPRODUCT(D22:D28,B22:B28)</f>
        <v>33060</v>
      </c>
      <c r="E29" s="31">
        <f>SUMPRODUCT(G22:G28,E22:E28)</f>
        <v>13689.882352941177</v>
      </c>
    </row>
    <row r="30" spans="1:7" ht="15.75" x14ac:dyDescent="0.25">
      <c r="A30" s="8" t="s">
        <v>44</v>
      </c>
      <c r="B30" s="65">
        <f>B29-E29</f>
        <v>19370.117647058825</v>
      </c>
    </row>
    <row r="31" spans="1:7" ht="74.25" customHeight="1" x14ac:dyDescent="0.25">
      <c r="B31" s="320" t="s">
        <v>155</v>
      </c>
      <c r="C31" s="320"/>
      <c r="D31" s="320"/>
      <c r="E31" s="320"/>
      <c r="F31" s="320"/>
      <c r="G31" s="320"/>
    </row>
  </sheetData>
  <mergeCells count="5">
    <mergeCell ref="B31:G31"/>
    <mergeCell ref="C16:D16"/>
    <mergeCell ref="A2:F2"/>
    <mergeCell ref="B20:D20"/>
    <mergeCell ref="E20:G20"/>
  </mergeCells>
  <printOptions horizontalCentered="1" verticalCentered="1"/>
  <pageMargins left="0.25" right="0.25" top="0.25" bottom="0.25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3"/>
  <sheetViews>
    <sheetView showGridLines="0" workbookViewId="0">
      <selection activeCell="A29" sqref="A29:H29"/>
    </sheetView>
  </sheetViews>
  <sheetFormatPr defaultRowHeight="15" x14ac:dyDescent="0.25"/>
  <cols>
    <col min="1" max="1" width="27.28515625" style="246" customWidth="1"/>
    <col min="2" max="3" width="6.7109375" style="245" customWidth="1"/>
    <col min="4" max="7" width="6.7109375" style="246" customWidth="1"/>
    <col min="8" max="8" width="9.140625" style="246"/>
    <col min="9" max="9" width="78" style="246" customWidth="1"/>
    <col min="10" max="16384" width="9.140625" style="246"/>
  </cols>
  <sheetData>
    <row r="1" spans="1:7" x14ac:dyDescent="0.25">
      <c r="A1" s="244" t="s">
        <v>128</v>
      </c>
    </row>
    <row r="2" spans="1:7" x14ac:dyDescent="0.25">
      <c r="A2" s="247" t="s">
        <v>131</v>
      </c>
      <c r="B2" s="248">
        <v>399</v>
      </c>
    </row>
    <row r="3" spans="1:7" x14ac:dyDescent="0.25">
      <c r="A3" s="247" t="s">
        <v>126</v>
      </c>
      <c r="B3" s="248">
        <v>3.6</v>
      </c>
    </row>
    <row r="4" spans="1:7" x14ac:dyDescent="0.25">
      <c r="A4" s="247" t="s">
        <v>124</v>
      </c>
      <c r="B4" s="248">
        <v>4.2</v>
      </c>
    </row>
    <row r="5" spans="1:7" x14ac:dyDescent="0.25">
      <c r="A5" s="247" t="s">
        <v>123</v>
      </c>
      <c r="B5" s="249">
        <f>B2/B4</f>
        <v>95</v>
      </c>
    </row>
    <row r="6" spans="1:7" x14ac:dyDescent="0.25">
      <c r="A6" s="247" t="s">
        <v>122</v>
      </c>
      <c r="B6" s="248">
        <v>0</v>
      </c>
      <c r="C6" s="250" t="s">
        <v>121</v>
      </c>
    </row>
    <row r="7" spans="1:7" x14ac:dyDescent="0.25">
      <c r="A7" s="247" t="s">
        <v>120</v>
      </c>
      <c r="B7" s="251">
        <v>7030</v>
      </c>
      <c r="C7" s="252"/>
    </row>
    <row r="8" spans="1:7" x14ac:dyDescent="0.25">
      <c r="A8" s="247" t="s">
        <v>119</v>
      </c>
      <c r="B8" s="249">
        <f>B7/(B5+B6)</f>
        <v>74</v>
      </c>
      <c r="C8" s="250" t="s">
        <v>118</v>
      </c>
    </row>
    <row r="9" spans="1:7" x14ac:dyDescent="0.25">
      <c r="A9" s="253" t="s">
        <v>117</v>
      </c>
      <c r="B9" s="251">
        <v>3100</v>
      </c>
      <c r="C9" s="250" t="s">
        <v>116</v>
      </c>
    </row>
    <row r="10" spans="1:7" x14ac:dyDescent="0.25">
      <c r="A10" s="253" t="s">
        <v>115</v>
      </c>
      <c r="B10" s="249">
        <f>B9*AVERAGE(B3,B4)*B7/1000000</f>
        <v>84.992700000000013</v>
      </c>
      <c r="C10" s="250" t="s">
        <v>114</v>
      </c>
    </row>
    <row r="11" spans="1:7" x14ac:dyDescent="0.25">
      <c r="A11" s="253" t="s">
        <v>113</v>
      </c>
      <c r="B11" s="254">
        <f>2.205*45.5/1000</f>
        <v>0.1003275</v>
      </c>
    </row>
    <row r="12" spans="1:7" x14ac:dyDescent="0.25">
      <c r="A12" s="253" t="s">
        <v>112</v>
      </c>
      <c r="B12" s="249">
        <f>B11*B7</f>
        <v>705.302325</v>
      </c>
    </row>
    <row r="13" spans="1:7" x14ac:dyDescent="0.25">
      <c r="A13" s="253" t="s">
        <v>132</v>
      </c>
      <c r="B13" s="249">
        <f>(B5+B6)*2.5</f>
        <v>237.5</v>
      </c>
    </row>
    <row r="14" spans="1:7" x14ac:dyDescent="0.25">
      <c r="B14" s="328" t="s">
        <v>130</v>
      </c>
      <c r="C14" s="328"/>
      <c r="D14" s="328"/>
      <c r="E14" s="328"/>
      <c r="F14" s="328"/>
      <c r="G14" s="328"/>
    </row>
    <row r="15" spans="1:7" x14ac:dyDescent="0.25">
      <c r="A15" s="244" t="s">
        <v>129</v>
      </c>
      <c r="B15" s="255">
        <v>300</v>
      </c>
      <c r="C15" s="255">
        <v>320</v>
      </c>
      <c r="D15" s="255">
        <v>340</v>
      </c>
      <c r="E15" s="255">
        <v>360</v>
      </c>
      <c r="F15" s="255">
        <v>380</v>
      </c>
      <c r="G15" s="255">
        <v>400</v>
      </c>
    </row>
    <row r="16" spans="1:7" x14ac:dyDescent="0.25">
      <c r="A16" s="244">
        <v>310</v>
      </c>
      <c r="B16" s="256">
        <f>$A16*1000/B$15</f>
        <v>1033.3333333333333</v>
      </c>
      <c r="C16" s="256">
        <f t="shared" ref="C16:G16" si="0">$A16*1000/C$15</f>
        <v>968.75</v>
      </c>
      <c r="D16" s="256">
        <f t="shared" si="0"/>
        <v>911.76470588235293</v>
      </c>
      <c r="E16" s="256">
        <f t="shared" si="0"/>
        <v>861.11111111111109</v>
      </c>
      <c r="F16" s="256">
        <f t="shared" si="0"/>
        <v>815.78947368421052</v>
      </c>
      <c r="G16" s="256">
        <f t="shared" si="0"/>
        <v>775</v>
      </c>
    </row>
    <row r="18" spans="1:8" x14ac:dyDescent="0.25">
      <c r="A18" s="246" t="s">
        <v>127</v>
      </c>
      <c r="B18" s="257" t="s">
        <v>85</v>
      </c>
    </row>
    <row r="19" spans="1:8" x14ac:dyDescent="0.25">
      <c r="B19" s="257" t="s">
        <v>125</v>
      </c>
    </row>
    <row r="20" spans="1:8" x14ac:dyDescent="0.25">
      <c r="A20" s="246" t="s">
        <v>153</v>
      </c>
      <c r="B20" s="258" t="s">
        <v>154</v>
      </c>
    </row>
    <row r="21" spans="1:8" x14ac:dyDescent="0.25">
      <c r="A21" s="327" t="s">
        <v>111</v>
      </c>
      <c r="B21" s="327"/>
      <c r="C21" s="327"/>
      <c r="D21" s="327"/>
      <c r="E21" s="327"/>
      <c r="F21" s="327"/>
      <c r="G21" s="327"/>
      <c r="H21" s="327"/>
    </row>
    <row r="23" spans="1:8" ht="31.5" customHeight="1" x14ac:dyDescent="0.25">
      <c r="A23" s="329" t="s">
        <v>231</v>
      </c>
      <c r="B23" s="329"/>
      <c r="C23" s="329"/>
      <c r="D23" s="329"/>
      <c r="E23" s="329"/>
      <c r="F23" s="329"/>
      <c r="G23" s="329"/>
    </row>
    <row r="25" spans="1:8" ht="54.75" customHeight="1" x14ac:dyDescent="0.25">
      <c r="A25" s="325" t="s">
        <v>232</v>
      </c>
      <c r="B25" s="326"/>
      <c r="C25" s="326"/>
      <c r="D25" s="326"/>
      <c r="E25" s="326"/>
      <c r="F25" s="326"/>
      <c r="G25" s="326"/>
      <c r="H25" s="326"/>
    </row>
    <row r="26" spans="1:8" ht="34.5" customHeight="1" x14ac:dyDescent="0.25">
      <c r="A26" s="325" t="s">
        <v>233</v>
      </c>
      <c r="B26" s="326"/>
      <c r="C26" s="326"/>
      <c r="D26" s="326"/>
      <c r="E26" s="326"/>
      <c r="F26" s="326"/>
      <c r="G26" s="326"/>
      <c r="H26" s="326"/>
    </row>
    <row r="27" spans="1:8" x14ac:dyDescent="0.25">
      <c r="A27" s="325"/>
      <c r="B27" s="326"/>
      <c r="C27" s="326"/>
      <c r="D27" s="326"/>
      <c r="E27" s="326"/>
      <c r="F27" s="326"/>
      <c r="G27" s="326"/>
      <c r="H27" s="326"/>
    </row>
    <row r="28" spans="1:8" x14ac:dyDescent="0.25">
      <c r="A28" s="325"/>
      <c r="B28" s="326"/>
      <c r="C28" s="326"/>
      <c r="D28" s="326"/>
      <c r="E28" s="326"/>
      <c r="F28" s="326"/>
      <c r="G28" s="326"/>
      <c r="H28" s="326"/>
    </row>
    <row r="29" spans="1:8" x14ac:dyDescent="0.25">
      <c r="A29" s="325"/>
      <c r="B29" s="326"/>
      <c r="C29" s="326"/>
      <c r="D29" s="326"/>
      <c r="E29" s="326"/>
      <c r="F29" s="326"/>
      <c r="G29" s="326"/>
      <c r="H29" s="326"/>
    </row>
    <row r="30" spans="1:8" x14ac:dyDescent="0.25">
      <c r="A30" s="325"/>
      <c r="B30" s="326"/>
      <c r="C30" s="326"/>
      <c r="D30" s="326"/>
      <c r="E30" s="326"/>
      <c r="F30" s="326"/>
      <c r="G30" s="326"/>
      <c r="H30" s="326"/>
    </row>
    <row r="31" spans="1:8" x14ac:dyDescent="0.25">
      <c r="A31" s="325"/>
      <c r="B31" s="326"/>
      <c r="C31" s="326"/>
      <c r="D31" s="326"/>
      <c r="E31" s="326"/>
      <c r="F31" s="326"/>
      <c r="G31" s="326"/>
      <c r="H31" s="326"/>
    </row>
    <row r="32" spans="1:8" x14ac:dyDescent="0.25">
      <c r="A32" s="325"/>
      <c r="B32" s="326"/>
      <c r="C32" s="326"/>
      <c r="D32" s="326"/>
      <c r="E32" s="326"/>
      <c r="F32" s="326"/>
      <c r="G32" s="326"/>
      <c r="H32" s="326"/>
    </row>
    <row r="33" spans="1:8" x14ac:dyDescent="0.25">
      <c r="A33" s="325"/>
      <c r="B33" s="326"/>
      <c r="C33" s="326"/>
      <c r="D33" s="326"/>
      <c r="E33" s="326"/>
      <c r="F33" s="326"/>
      <c r="G33" s="326"/>
      <c r="H33" s="326"/>
    </row>
  </sheetData>
  <mergeCells count="12">
    <mergeCell ref="A21:H21"/>
    <mergeCell ref="B14:G14"/>
    <mergeCell ref="A23:G23"/>
    <mergeCell ref="A25:H25"/>
    <mergeCell ref="A26:H26"/>
    <mergeCell ref="A32:H32"/>
    <mergeCell ref="A33:H33"/>
    <mergeCell ref="A27:H27"/>
    <mergeCell ref="A28:H28"/>
    <mergeCell ref="A29:H29"/>
    <mergeCell ref="A30:H30"/>
    <mergeCell ref="A31:H31"/>
  </mergeCells>
  <hyperlinks>
    <hyperlink ref="B18" r:id="rId1"/>
    <hyperlink ref="B19" r:id="rId2"/>
    <hyperlink ref="B20" r:id="rId3"/>
    <hyperlink ref="A23:G23" r:id="rId4" display="From 2012 10Q: we are presently using lithium-ion battery cells based on the 18650 form factor in all of our battery packs"/>
  </hyperlinks>
  <printOptions horizontalCentered="1" verticalCentered="1"/>
  <pageMargins left="0.25" right="0.25" top="0.75" bottom="0.75" header="0.3" footer="0.3"/>
  <pageSetup scale="86" orientation="landscape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RefCards</vt:lpstr>
      <vt:lpstr>ModelSChargeRef</vt:lpstr>
      <vt:lpstr>InCarEnergyCalcs</vt:lpstr>
      <vt:lpstr>Efficiency</vt:lpstr>
      <vt:lpstr>ElectricityCost</vt:lpstr>
      <vt:lpstr>Weight+Capacity</vt:lpstr>
      <vt:lpstr>ParkingDischarge</vt:lpstr>
      <vt:lpstr>TCO</vt:lpstr>
      <vt:lpstr>BatteryPack</vt:lpstr>
      <vt:lpstr>Resources</vt:lpstr>
      <vt:lpstr>BatteryPack!Print_Area</vt:lpstr>
      <vt:lpstr>Efficiency!Print_Area</vt:lpstr>
      <vt:lpstr>ElectricityCost!Print_Area</vt:lpstr>
      <vt:lpstr>ModelSChargeRef!Print_Area</vt:lpstr>
      <vt:lpstr>RefCards!Print_Area</vt:lpstr>
      <vt:lpstr>TCO!Print_Area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2014-03-03T18:01:43Z</dcterms:modified>
</cp:coreProperties>
</file>